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codeName="ThisWorkbook"/>
  <mc:AlternateContent xmlns:mc="http://schemas.openxmlformats.org/markup-compatibility/2006">
    <mc:Choice Requires="x15">
      <x15ac:absPath xmlns:x15ac="http://schemas.microsoft.com/office/spreadsheetml/2010/11/ac" url="S:\3 - Programs\3-2 Business Programs\3-2-20 Electric Vehicles Initiatives\30. MJRP-funded RFP for DCFC at Maine Destinations\RFP documents\"/>
    </mc:Choice>
  </mc:AlternateContent>
  <xr:revisionPtr revIDLastSave="0" documentId="13_ncr:1_{2430D1B6-D197-425C-B519-82D1D64CC615}" xr6:coauthVersionLast="47" xr6:coauthVersionMax="47" xr10:uidLastSave="{00000000-0000-0000-0000-000000000000}"/>
  <bookViews>
    <workbookView xWindow="-110" yWindow="-110" windowWidth="19420" windowHeight="10300" xr2:uid="{00000000-000D-0000-FFFF-FFFF00000000}"/>
  </bookViews>
  <sheets>
    <sheet name="Customer Load Sheet" sheetId="1" r:id="rId1"/>
    <sheet name="How-to for load sheet" sheetId="10" r:id="rId2"/>
    <sheet name="ESA" sheetId="5" r:id="rId3"/>
    <sheet name="Transmission-Distribution Plan" sheetId="4" r:id="rId4"/>
    <sheet name="Metering" sheetId="9" r:id="rId5"/>
    <sheet name="METER DATA" sheetId="11" r:id="rId6"/>
  </sheets>
  <definedNames>
    <definedName name="__xlnm.Print_Area" localSheetId="0">'Customer Load Sheet'!$A$1:$I$74</definedName>
    <definedName name="_xlnm._FilterDatabase" localSheetId="3" hidden="1">'Transmission-Distribution Plan'!$A$104:$D$183</definedName>
    <definedName name="COMM_LIST_LOAD_TYPE">'Customer Load Sheet'!$B$97:$B$114</definedName>
    <definedName name="COMM_LOAD_TYPE_VLKUP">'Customer Load Sheet'!$B$97:$D$114</definedName>
    <definedName name="LOAD_TYPE_RES_HVAC">'Customer Load Sheet'!$B$137:$D$139</definedName>
    <definedName name="Multiple_list">ESA!$B$57:$B$67</definedName>
    <definedName name="Multiple_Unit_Diversity_vlkup">ESA!$B$57:$C$67</definedName>
    <definedName name="_xlnm.Print_Area" localSheetId="0">'Customer Load Sheet'!$A$1:$I$74</definedName>
    <definedName name="_xlnm.Print_Area" localSheetId="2">ESA!$A$1:$T$77</definedName>
    <definedName name="_xlnm.Print_Area" localSheetId="1">'How-to for load sheet'!$A$1:$L$33</definedName>
    <definedName name="_xlnm.Print_Area" localSheetId="4">Metering!$A$1:$J$20</definedName>
    <definedName name="_xlnm.Print_Area" localSheetId="3">'Transmission-Distribution Plan'!$A$1:$L$68</definedName>
    <definedName name="rate_lookup">'Customer Load Sheet'!$F$88:$G$99</definedName>
    <definedName name="RES_LOAD_TYPE_HVAC">'Customer Load Sheet'!$B$137:$B$139</definedName>
    <definedName name="RES_LOAD_TYPE_HVAC_VLKUP">'Customer Load Sheet'!$B$137:$D$139</definedName>
    <definedName name="RES_LOAD_TYPE_NON_HVAC">'Customer Load Sheet'!$B$118:$B$133</definedName>
    <definedName name="RES_LOAD_TYPE_NON_HVAC_VLKUP">'Customer Load Sheet'!$B$118:$D$133</definedName>
    <definedName name="RES_LOADTYPE_HVAC">'Customer Load Sheet'!$B$137:$D$139</definedName>
    <definedName name="REV_CLASS_COM_IND">'Customer Load Sheet'!$B$77:$C$79</definedName>
    <definedName name="Revenue_Class">'Customer Load Sheet'!$B$77:$B$78</definedName>
    <definedName name="S_C_LIST">'Customer Load Sheet'!$F$115:$F$126</definedName>
    <definedName name="transformersizes">'Transmission-Distribution Plan'!$A$80:$A$96</definedName>
    <definedName name="Voltage_Choice_VLKUP">'Customer Load Sheet'!$B$82:$D$92</definedName>
    <definedName name="xfmr10">'Transmission-Distribution Plan'!$D$80:$D$82</definedName>
    <definedName name="xfmr100">'Transmission-Distribution Plan'!$P$80:$P$84</definedName>
    <definedName name="xfmr1000">'Transmission-Distribution Plan'!$AK$80:$AK$87</definedName>
    <definedName name="xfmr112.5">'Transmission-Distribution Plan'!$S$80:$S$80</definedName>
    <definedName name="xfmr150">'Transmission-Distribution Plan'!$V$80:$V$83</definedName>
    <definedName name="xfmr1500">'Transmission-Distribution Plan'!$AN$80:$AN$83</definedName>
    <definedName name="xfmr167">'Transmission-Distribution Plan'!$Y$80:$Y$85</definedName>
    <definedName name="xfmr2000">'Transmission-Distribution Plan'!$AQ$80:$AQ$82</definedName>
    <definedName name="xfmr225">'Transmission-Distribution Plan'!#REF!</definedName>
    <definedName name="xfmr25">'Transmission-Distribution Plan'!$G$80:$G$86</definedName>
    <definedName name="xfmr2500">'Transmission-Distribution Plan'!$AT$80:$AT$82</definedName>
    <definedName name="xfmr300">'Transmission-Distribution Plan'!$AB$80:$AB$85</definedName>
    <definedName name="xfmr50">'Transmission-Distribution Plan'!$J$80:$J$84</definedName>
    <definedName name="xfmr500">'Transmission-Distribution Plan'!$AE$80:$AE$87</definedName>
    <definedName name="xfmr5000">'Transmission-Distribution Plan'!$AW$80:$AW$81</definedName>
    <definedName name="xfmr75">'Transmission-Distribution Plan'!$M$80:$M$80</definedName>
    <definedName name="xfmr750">'Transmission-Distribution Plan'!$AH$80:$AH$84</definedName>
    <definedName name="xfmr7500">'Transmission-Distribution Plan'!$AZ$80:$AZ$81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4" l="1"/>
  <c r="F67" i="4" l="1"/>
  <c r="G67" i="4"/>
  <c r="D6" i="1"/>
  <c r="D5" i="1"/>
  <c r="B32" i="5"/>
  <c r="B31" i="5"/>
  <c r="B23" i="5"/>
  <c r="B24" i="5"/>
  <c r="B25" i="5"/>
  <c r="B26" i="5"/>
  <c r="B27" i="5"/>
  <c r="B28" i="5"/>
  <c r="B29" i="5"/>
  <c r="B22" i="5"/>
  <c r="B5" i="5"/>
  <c r="B6" i="5"/>
  <c r="B7" i="5"/>
  <c r="K7" i="5" s="1"/>
  <c r="B8" i="5"/>
  <c r="B9" i="5"/>
  <c r="B10" i="5"/>
  <c r="K10" i="5" s="1"/>
  <c r="B11" i="5"/>
  <c r="K11" i="5" s="1"/>
  <c r="B12" i="5"/>
  <c r="H12" i="5" s="1"/>
  <c r="B13" i="5"/>
  <c r="B14" i="5"/>
  <c r="B15" i="5"/>
  <c r="B16" i="5"/>
  <c r="B17" i="5"/>
  <c r="L17" i="5" s="1"/>
  <c r="B18" i="5"/>
  <c r="B19" i="5"/>
  <c r="K19" i="5" s="1"/>
  <c r="B4" i="5"/>
  <c r="K4" i="5" s="1"/>
  <c r="L15" i="5"/>
  <c r="H16" i="5"/>
  <c r="L18" i="5"/>
  <c r="K5" i="5"/>
  <c r="K6" i="5"/>
  <c r="K8" i="5"/>
  <c r="K9" i="5"/>
  <c r="K13" i="5"/>
  <c r="K14" i="5"/>
  <c r="L5" i="5"/>
  <c r="L6" i="5"/>
  <c r="L7" i="5"/>
  <c r="L8" i="5"/>
  <c r="L9" i="5"/>
  <c r="L10" i="5"/>
  <c r="L13" i="5"/>
  <c r="L14" i="5"/>
  <c r="H5" i="5"/>
  <c r="H6" i="5"/>
  <c r="H7" i="5"/>
  <c r="H8" i="5"/>
  <c r="H9" i="5"/>
  <c r="H10" i="5"/>
  <c r="H13" i="5"/>
  <c r="H14" i="5"/>
  <c r="L12" i="5" l="1"/>
  <c r="K12" i="5"/>
  <c r="H4" i="5"/>
  <c r="L4" i="5"/>
  <c r="L16" i="5"/>
  <c r="H17" i="5"/>
  <c r="K17" i="5"/>
  <c r="K16" i="5"/>
  <c r="K18" i="5"/>
  <c r="H18" i="5"/>
  <c r="L19" i="5"/>
  <c r="H19" i="5"/>
  <c r="H15" i="5"/>
  <c r="K15" i="5"/>
  <c r="H11" i="5"/>
  <c r="L11" i="5"/>
  <c r="I62" i="4"/>
  <c r="C65" i="1" l="1"/>
  <c r="C56" i="4" l="1"/>
  <c r="I35" i="5"/>
  <c r="I34" i="5"/>
  <c r="I33" i="5"/>
  <c r="I32" i="5"/>
  <c r="I31" i="5"/>
  <c r="G35" i="5"/>
  <c r="G34" i="5"/>
  <c r="G33" i="5"/>
  <c r="G32" i="5"/>
  <c r="G31" i="5"/>
  <c r="G30" i="5"/>
  <c r="F35" i="5"/>
  <c r="F34" i="5"/>
  <c r="F33" i="5"/>
  <c r="F32" i="5"/>
  <c r="F31" i="5"/>
  <c r="F30" i="5"/>
  <c r="E35" i="5"/>
  <c r="E34" i="5"/>
  <c r="E33" i="5"/>
  <c r="E32" i="5"/>
  <c r="E31" i="5"/>
  <c r="D32" i="5"/>
  <c r="D31" i="5"/>
  <c r="C32" i="5"/>
  <c r="C31" i="5"/>
  <c r="B34" i="5"/>
  <c r="B33" i="5"/>
  <c r="H32" i="5"/>
  <c r="L32" i="5" l="1"/>
  <c r="K32" i="5"/>
  <c r="H31" i="5"/>
  <c r="K31" i="5"/>
  <c r="L31" i="5"/>
  <c r="H11" i="1"/>
  <c r="H32" i="1" l="1"/>
  <c r="J31" i="1"/>
  <c r="H46" i="5" l="1"/>
  <c r="H47" i="5"/>
  <c r="H48" i="5"/>
  <c r="H45" i="5"/>
  <c r="B49" i="5"/>
  <c r="B47" i="5"/>
  <c r="C3" i="4" l="1"/>
  <c r="G15" i="9"/>
  <c r="F15" i="9"/>
  <c r="I13" i="9"/>
  <c r="H13" i="9"/>
  <c r="G13" i="9"/>
  <c r="F13" i="9"/>
  <c r="H12" i="9"/>
  <c r="G12" i="9"/>
  <c r="F12" i="9"/>
  <c r="C12" i="9"/>
  <c r="J10" i="9"/>
  <c r="F10" i="9"/>
  <c r="D9" i="9"/>
  <c r="H7" i="9"/>
  <c r="C7" i="9"/>
  <c r="D6" i="9"/>
  <c r="E6" i="9"/>
  <c r="F6" i="9"/>
  <c r="G6" i="9"/>
  <c r="H6" i="9"/>
  <c r="C6" i="9"/>
  <c r="C5" i="9"/>
  <c r="H4" i="9"/>
  <c r="F4" i="9"/>
  <c r="D4" i="9"/>
  <c r="C3" i="9"/>
  <c r="G2" i="9"/>
  <c r="U8" i="11" s="1"/>
  <c r="C2" i="9"/>
  <c r="S6" i="11" s="1"/>
  <c r="C1" i="9"/>
  <c r="S2" i="11" s="1"/>
  <c r="B56" i="4"/>
  <c r="B57" i="4"/>
  <c r="C55" i="4"/>
  <c r="C47" i="4"/>
  <c r="C48" i="4"/>
  <c r="C49" i="4"/>
  <c r="C50" i="4"/>
  <c r="C51" i="4"/>
  <c r="C52" i="4"/>
  <c r="C53" i="4"/>
  <c r="C46" i="4"/>
  <c r="A29" i="4"/>
  <c r="B45" i="4"/>
  <c r="B30" i="4"/>
  <c r="B31" i="4"/>
  <c r="B32" i="4"/>
  <c r="B33" i="4"/>
  <c r="B34" i="4"/>
  <c r="B35" i="4"/>
  <c r="B36" i="4"/>
  <c r="B37" i="4"/>
  <c r="B38" i="4"/>
  <c r="B39" i="4"/>
  <c r="B40" i="4"/>
  <c r="B41" i="4"/>
  <c r="B42" i="4"/>
  <c r="B43" i="4"/>
  <c r="B44" i="4"/>
  <c r="B55" i="4"/>
  <c r="B54" i="4"/>
  <c r="B47" i="4"/>
  <c r="B48" i="4"/>
  <c r="B49" i="4"/>
  <c r="B50" i="4"/>
  <c r="B51" i="4"/>
  <c r="B52" i="4"/>
  <c r="B53" i="4"/>
  <c r="B46" i="4"/>
  <c r="C30" i="4"/>
  <c r="C31" i="4"/>
  <c r="C32" i="4"/>
  <c r="C33" i="4"/>
  <c r="C34" i="4"/>
  <c r="C35" i="4"/>
  <c r="C36" i="4"/>
  <c r="C37" i="4"/>
  <c r="C38" i="4"/>
  <c r="C39" i="4"/>
  <c r="C40" i="4"/>
  <c r="C41" i="4"/>
  <c r="C42" i="4"/>
  <c r="C43" i="4"/>
  <c r="C44" i="4"/>
  <c r="B29" i="4"/>
  <c r="C29" i="4"/>
  <c r="A46" i="4"/>
  <c r="G24" i="4"/>
  <c r="F24" i="4"/>
  <c r="C21" i="4"/>
  <c r="J23" i="4"/>
  <c r="I22" i="4"/>
  <c r="H22" i="4"/>
  <c r="G22" i="4"/>
  <c r="F22" i="4"/>
  <c r="H21" i="4"/>
  <c r="G21" i="4"/>
  <c r="F21" i="4"/>
  <c r="H10" i="4"/>
  <c r="F10" i="4"/>
  <c r="D9" i="4"/>
  <c r="C7" i="4"/>
  <c r="H7" i="4"/>
  <c r="C6" i="4"/>
  <c r="C5" i="4"/>
  <c r="H4" i="4"/>
  <c r="F4" i="4"/>
  <c r="D4" i="4"/>
  <c r="G2" i="4"/>
  <c r="C2" i="4"/>
  <c r="C1" i="4"/>
  <c r="F26" i="1" l="1"/>
  <c r="D26" i="1"/>
  <c r="I30" i="5"/>
  <c r="I23" i="5"/>
  <c r="I24" i="5"/>
  <c r="I25" i="5"/>
  <c r="I26" i="5"/>
  <c r="I27" i="5"/>
  <c r="I28" i="5"/>
  <c r="I29" i="5"/>
  <c r="I22" i="5"/>
  <c r="P24" i="5"/>
  <c r="I20" i="5"/>
  <c r="E30" i="5"/>
  <c r="G23" i="5"/>
  <c r="G24" i="5"/>
  <c r="G25" i="5"/>
  <c r="G26" i="5"/>
  <c r="G27" i="5"/>
  <c r="G28" i="5"/>
  <c r="G29" i="5"/>
  <c r="G22" i="5"/>
  <c r="E23" i="5"/>
  <c r="E24" i="5"/>
  <c r="E25" i="5"/>
  <c r="E26" i="5"/>
  <c r="E27" i="5"/>
  <c r="E28" i="5"/>
  <c r="E29" i="5"/>
  <c r="F23" i="5"/>
  <c r="F24" i="5"/>
  <c r="F25" i="5"/>
  <c r="F26" i="5"/>
  <c r="F27" i="5"/>
  <c r="F28" i="5"/>
  <c r="F29" i="5"/>
  <c r="F22" i="5"/>
  <c r="E22" i="5"/>
  <c r="D23" i="5"/>
  <c r="D24" i="5"/>
  <c r="D25" i="5"/>
  <c r="D26" i="5"/>
  <c r="D27" i="5"/>
  <c r="D28" i="5"/>
  <c r="D29" i="5"/>
  <c r="D22" i="5"/>
  <c r="C23" i="5"/>
  <c r="C24" i="5"/>
  <c r="C25" i="5"/>
  <c r="C26" i="5"/>
  <c r="C27" i="5"/>
  <c r="C28" i="5"/>
  <c r="C29" i="5"/>
  <c r="C22" i="5"/>
  <c r="B30" i="5"/>
  <c r="I5" i="5"/>
  <c r="I6" i="5"/>
  <c r="I7" i="5"/>
  <c r="I8" i="5"/>
  <c r="I9" i="5"/>
  <c r="I10" i="5"/>
  <c r="I11" i="5"/>
  <c r="I12" i="5"/>
  <c r="I13" i="5"/>
  <c r="I14" i="5"/>
  <c r="I15" i="5"/>
  <c r="I16" i="5"/>
  <c r="I17" i="5"/>
  <c r="I18" i="5"/>
  <c r="I19" i="5"/>
  <c r="I4" i="5"/>
  <c r="G5" i="5"/>
  <c r="G6" i="5"/>
  <c r="G7" i="5"/>
  <c r="G8" i="5"/>
  <c r="G9" i="5"/>
  <c r="G10" i="5"/>
  <c r="G11" i="5"/>
  <c r="G12" i="5"/>
  <c r="G13" i="5"/>
  <c r="G14" i="5"/>
  <c r="G15" i="5"/>
  <c r="G16" i="5"/>
  <c r="G17" i="5"/>
  <c r="G18" i="5"/>
  <c r="G19" i="5"/>
  <c r="G20" i="5"/>
  <c r="G4" i="5"/>
  <c r="F5" i="5"/>
  <c r="F6" i="5"/>
  <c r="F7" i="5"/>
  <c r="F8" i="5"/>
  <c r="F9" i="5"/>
  <c r="F10" i="5"/>
  <c r="F11" i="5"/>
  <c r="F12" i="5"/>
  <c r="F13" i="5"/>
  <c r="F14" i="5"/>
  <c r="F15" i="5"/>
  <c r="F16" i="5"/>
  <c r="F17" i="5"/>
  <c r="F18" i="5"/>
  <c r="F19" i="5"/>
  <c r="F20" i="5"/>
  <c r="F4" i="5"/>
  <c r="E5" i="5"/>
  <c r="E6" i="5"/>
  <c r="E7" i="5"/>
  <c r="E8" i="5"/>
  <c r="E9" i="5"/>
  <c r="E10" i="5"/>
  <c r="E11" i="5"/>
  <c r="E12" i="5"/>
  <c r="E13" i="5"/>
  <c r="E14" i="5"/>
  <c r="E15" i="5"/>
  <c r="E16" i="5"/>
  <c r="E17" i="5"/>
  <c r="E18" i="5"/>
  <c r="E19" i="5"/>
  <c r="E20" i="5"/>
  <c r="E4" i="5"/>
  <c r="D5" i="5"/>
  <c r="D6" i="5"/>
  <c r="D7" i="5"/>
  <c r="D8" i="5"/>
  <c r="D9" i="5"/>
  <c r="D10" i="5"/>
  <c r="D11" i="5"/>
  <c r="D12" i="5"/>
  <c r="D13" i="5"/>
  <c r="D14" i="5"/>
  <c r="D15" i="5"/>
  <c r="D16" i="5"/>
  <c r="D17" i="5"/>
  <c r="D18" i="5"/>
  <c r="D19" i="5"/>
  <c r="D4" i="5"/>
  <c r="C5" i="5"/>
  <c r="C6" i="5"/>
  <c r="C7" i="5"/>
  <c r="C8" i="5"/>
  <c r="C9" i="5"/>
  <c r="C10" i="5"/>
  <c r="C11" i="5"/>
  <c r="C12" i="5"/>
  <c r="C13" i="5"/>
  <c r="C14" i="5"/>
  <c r="C15" i="5"/>
  <c r="C16" i="5"/>
  <c r="C17" i="5"/>
  <c r="C18" i="5"/>
  <c r="C19" i="5"/>
  <c r="C4" i="5"/>
  <c r="B20" i="5"/>
  <c r="H12" i="1"/>
  <c r="D68" i="1"/>
  <c r="D33" i="5" s="1"/>
  <c r="C68" i="1"/>
  <c r="D65" i="1"/>
  <c r="D30" i="5" s="1"/>
  <c r="C54" i="4"/>
  <c r="D54" i="1"/>
  <c r="C54" i="1"/>
  <c r="C45" i="4" s="1"/>
  <c r="H28" i="5" l="1"/>
  <c r="L28" i="5"/>
  <c r="L22" i="5"/>
  <c r="H22" i="5"/>
  <c r="H27" i="5"/>
  <c r="L27" i="5"/>
  <c r="H29" i="5"/>
  <c r="L29" i="5"/>
  <c r="H26" i="5"/>
  <c r="L26" i="5"/>
  <c r="L23" i="5"/>
  <c r="H23" i="5"/>
  <c r="L25" i="5"/>
  <c r="H25" i="5"/>
  <c r="L24" i="5"/>
  <c r="H24" i="5"/>
  <c r="C57" i="4"/>
  <c r="C33" i="5"/>
  <c r="D69" i="1"/>
  <c r="D34" i="5" s="1"/>
  <c r="D70" i="1"/>
  <c r="D35" i="5" s="1"/>
  <c r="D20" i="5"/>
  <c r="B52" i="5"/>
  <c r="K24" i="5"/>
  <c r="K29" i="5"/>
  <c r="C22" i="4"/>
  <c r="C13" i="9"/>
  <c r="P37" i="5"/>
  <c r="D10" i="4"/>
  <c r="D10" i="9"/>
  <c r="H9" i="4"/>
  <c r="P38" i="5"/>
  <c r="H10" i="9"/>
  <c r="J22" i="4"/>
  <c r="J13" i="9"/>
  <c r="C30" i="5"/>
  <c r="C20" i="5"/>
  <c r="K23" i="5"/>
  <c r="K22" i="5"/>
  <c r="K26" i="5"/>
  <c r="K25" i="5"/>
  <c r="K28" i="5"/>
  <c r="K27" i="5"/>
  <c r="C70" i="1"/>
  <c r="C69" i="1"/>
  <c r="C34" i="5" s="1"/>
  <c r="N38" i="5" l="1"/>
  <c r="B48" i="5" l="1"/>
  <c r="B46" i="5" l="1"/>
  <c r="C39" i="5" l="1"/>
  <c r="D13" i="9"/>
  <c r="D16" i="9"/>
  <c r="D15" i="9"/>
  <c r="H14" i="9"/>
  <c r="F14" i="9"/>
  <c r="D14" i="9"/>
  <c r="E19" i="9"/>
  <c r="C15" i="9"/>
  <c r="K54" i="1" l="1"/>
  <c r="J54" i="1" s="1"/>
  <c r="J51" i="1"/>
  <c r="K49" i="1"/>
  <c r="J43" i="1"/>
  <c r="K41" i="1"/>
  <c r="J41" i="1" s="1"/>
  <c r="K39" i="1"/>
  <c r="K51" i="1"/>
  <c r="K45" i="1"/>
  <c r="J45" i="1" s="1"/>
  <c r="A78" i="4" l="1"/>
  <c r="H3" i="1"/>
  <c r="P22" i="5"/>
  <c r="N40" i="5"/>
  <c r="E36" i="5"/>
  <c r="L34" i="5"/>
  <c r="T4" i="5"/>
  <c r="S5" i="5"/>
  <c r="T6" i="5"/>
  <c r="S7" i="5"/>
  <c r="T9" i="5"/>
  <c r="T10" i="5"/>
  <c r="S18" i="5"/>
  <c r="S22" i="5"/>
  <c r="T23" i="5"/>
  <c r="T25" i="5"/>
  <c r="S26" i="5"/>
  <c r="S27" i="5"/>
  <c r="T28" i="5"/>
  <c r="T29" i="5"/>
  <c r="S31" i="5"/>
  <c r="T32" i="5"/>
  <c r="E63" i="4"/>
  <c r="E28" i="4"/>
  <c r="B58" i="4"/>
  <c r="D28" i="4"/>
  <c r="A47" i="4"/>
  <c r="A48" i="4"/>
  <c r="A49" i="4"/>
  <c r="A50" i="4"/>
  <c r="A51" i="4"/>
  <c r="A52" i="4"/>
  <c r="A53" i="4"/>
  <c r="A54" i="4"/>
  <c r="A55" i="4"/>
  <c r="A56" i="4"/>
  <c r="A57" i="4"/>
  <c r="B59" i="4"/>
  <c r="B28" i="4"/>
  <c r="C24" i="4"/>
  <c r="C19" i="4"/>
  <c r="A1" i="5"/>
  <c r="B1" i="5"/>
  <c r="C1" i="5"/>
  <c r="G1" i="5"/>
  <c r="B2" i="5"/>
  <c r="C2" i="5"/>
  <c r="D2" i="5"/>
  <c r="E2" i="5"/>
  <c r="F2" i="5"/>
  <c r="G2" i="5"/>
  <c r="I2" i="5"/>
  <c r="M18" i="5"/>
  <c r="N18" i="5" s="1"/>
  <c r="E43" i="4" s="1"/>
  <c r="B36" i="5"/>
  <c r="G36" i="5"/>
  <c r="I36" i="5"/>
  <c r="B38" i="5"/>
  <c r="C38" i="5"/>
  <c r="B39" i="5"/>
  <c r="D39" i="5"/>
  <c r="E39" i="5"/>
  <c r="F39" i="5"/>
  <c r="G39" i="5"/>
  <c r="I39" i="5"/>
  <c r="F36" i="5"/>
  <c r="S32" i="5" l="1"/>
  <c r="E62" i="4"/>
  <c r="E18" i="9"/>
  <c r="C58" i="4"/>
  <c r="M13" i="5"/>
  <c r="N13" i="5" s="1"/>
  <c r="E38" i="4" s="1"/>
  <c r="M32" i="5"/>
  <c r="D56" i="4" s="1"/>
  <c r="T27" i="5"/>
  <c r="M9" i="5"/>
  <c r="D34" i="4" s="1"/>
  <c r="M25" i="5"/>
  <c r="D49" i="4" s="1"/>
  <c r="M17" i="5"/>
  <c r="D42" i="4" s="1"/>
  <c r="M15" i="5"/>
  <c r="N15" i="5" s="1"/>
  <c r="E40" i="4" s="1"/>
  <c r="T7" i="5"/>
  <c r="M4" i="5"/>
  <c r="N4" i="5" s="1"/>
  <c r="E29" i="4" s="1"/>
  <c r="M28" i="5"/>
  <c r="D52" i="4" s="1"/>
  <c r="M24" i="5"/>
  <c r="N24" i="5" s="1"/>
  <c r="E48" i="4" s="1"/>
  <c r="M6" i="5"/>
  <c r="S24" i="5"/>
  <c r="T5" i="5"/>
  <c r="M27" i="5"/>
  <c r="D51" i="4" s="1"/>
  <c r="S29" i="5"/>
  <c r="S4" i="5"/>
  <c r="M10" i="5"/>
  <c r="N10" i="5" s="1"/>
  <c r="E35" i="4" s="1"/>
  <c r="T26" i="5"/>
  <c r="T31" i="5"/>
  <c r="M16" i="5"/>
  <c r="O16" i="5" s="1"/>
  <c r="M22" i="5"/>
  <c r="O22" i="5" s="1"/>
  <c r="S6" i="5"/>
  <c r="S25" i="5"/>
  <c r="S10" i="5"/>
  <c r="M14" i="5"/>
  <c r="N14" i="5" s="1"/>
  <c r="E39" i="4" s="1"/>
  <c r="M12" i="5"/>
  <c r="D37" i="4" s="1"/>
  <c r="M7" i="5"/>
  <c r="M5" i="5"/>
  <c r="O5" i="5" s="1"/>
  <c r="M31" i="5"/>
  <c r="M29" i="5"/>
  <c r="D53" i="4" s="1"/>
  <c r="M8" i="5"/>
  <c r="S21" i="5" s="1"/>
  <c r="D43" i="4"/>
  <c r="S28" i="5"/>
  <c r="C59" i="4"/>
  <c r="T30" i="5"/>
  <c r="M19" i="5"/>
  <c r="S3" i="5"/>
  <c r="M11" i="5"/>
  <c r="O11" i="5" s="1"/>
  <c r="T19" i="5"/>
  <c r="D36" i="5"/>
  <c r="M23" i="5"/>
  <c r="O23" i="5" s="1"/>
  <c r="M26" i="5"/>
  <c r="S20" i="5"/>
  <c r="T8" i="5"/>
  <c r="S8" i="5"/>
  <c r="O18" i="5"/>
  <c r="S13" i="5"/>
  <c r="S17" i="5" l="1"/>
  <c r="N6" i="5"/>
  <c r="E31" i="4" s="1"/>
  <c r="S19" i="5"/>
  <c r="S30" i="5"/>
  <c r="S9" i="5"/>
  <c r="S11" i="5" s="1"/>
  <c r="O9" i="5"/>
  <c r="S23" i="5"/>
  <c r="O32" i="5"/>
  <c r="T17" i="5"/>
  <c r="O13" i="5"/>
  <c r="D38" i="4"/>
  <c r="O24" i="5"/>
  <c r="N32" i="5"/>
  <c r="O17" i="5"/>
  <c r="O28" i="5"/>
  <c r="O25" i="5"/>
  <c r="N28" i="5"/>
  <c r="E52" i="4" s="1"/>
  <c r="D48" i="4"/>
  <c r="D40" i="4"/>
  <c r="N25" i="5"/>
  <c r="E49" i="4" s="1"/>
  <c r="D41" i="4"/>
  <c r="O15" i="5"/>
  <c r="O6" i="5"/>
  <c r="O10" i="5"/>
  <c r="N22" i="5"/>
  <c r="D31" i="4"/>
  <c r="O4" i="5"/>
  <c r="N9" i="5"/>
  <c r="T22" i="5" s="1"/>
  <c r="N29" i="5"/>
  <c r="E53" i="4" s="1"/>
  <c r="D29" i="4"/>
  <c r="D39" i="4"/>
  <c r="O27" i="5"/>
  <c r="D46" i="4"/>
  <c r="N27" i="5"/>
  <c r="E51" i="4" s="1"/>
  <c r="N5" i="5"/>
  <c r="N17" i="5"/>
  <c r="E42" i="4" s="1"/>
  <c r="N11" i="5"/>
  <c r="N16" i="5"/>
  <c r="E41" i="4" s="1"/>
  <c r="O29" i="5"/>
  <c r="D35" i="4"/>
  <c r="D47" i="4"/>
  <c r="N31" i="5"/>
  <c r="D55" i="4"/>
  <c r="M33" i="5"/>
  <c r="O12" i="5"/>
  <c r="O14" i="5"/>
  <c r="N12" i="5"/>
  <c r="E37" i="4" s="1"/>
  <c r="D30" i="4"/>
  <c r="N23" i="5"/>
  <c r="E47" i="4" s="1"/>
  <c r="N8" i="5"/>
  <c r="D33" i="4"/>
  <c r="O7" i="5"/>
  <c r="D32" i="4"/>
  <c r="O31" i="5"/>
  <c r="D36" i="4"/>
  <c r="S12" i="5"/>
  <c r="S14" i="5" s="1"/>
  <c r="N7" i="5"/>
  <c r="O8" i="5"/>
  <c r="C36" i="5"/>
  <c r="O19" i="5"/>
  <c r="D44" i="4"/>
  <c r="N19" i="5"/>
  <c r="E44" i="4" s="1"/>
  <c r="M20" i="5"/>
  <c r="D45" i="4" s="1"/>
  <c r="O26" i="5"/>
  <c r="N26" i="5"/>
  <c r="E50" i="4" s="1"/>
  <c r="D50" i="4"/>
  <c r="M30" i="5"/>
  <c r="E55" i="4" l="1"/>
  <c r="T12" i="5"/>
  <c r="E30" i="4"/>
  <c r="T18" i="5"/>
  <c r="E56" i="4"/>
  <c r="T13" i="5"/>
  <c r="E33" i="4"/>
  <c r="T21" i="5"/>
  <c r="E36" i="4"/>
  <c r="T24" i="5"/>
  <c r="S33" i="5"/>
  <c r="S34" i="5" s="1"/>
  <c r="O33" i="5"/>
  <c r="E46" i="4"/>
  <c r="T3" i="5"/>
  <c r="T11" i="5" s="1"/>
  <c r="N20" i="5"/>
  <c r="Q20" i="5"/>
  <c r="E32" i="4"/>
  <c r="T20" i="5"/>
  <c r="E34" i="4"/>
  <c r="O30" i="5"/>
  <c r="D57" i="4"/>
  <c r="N33" i="5"/>
  <c r="E57" i="4" s="1"/>
  <c r="O20" i="5"/>
  <c r="M43" i="5" s="1"/>
  <c r="D58" i="4"/>
  <c r="D54" i="4"/>
  <c r="N30" i="5"/>
  <c r="M34" i="5"/>
  <c r="Q34" i="5" s="1"/>
  <c r="T14" i="5" l="1"/>
  <c r="T33" i="5"/>
  <c r="E58" i="4"/>
  <c r="E45" i="4"/>
  <c r="O34" i="5"/>
  <c r="M46" i="5" s="1"/>
  <c r="M47" i="5" s="1"/>
  <c r="M44" i="5"/>
  <c r="E54" i="4"/>
  <c r="N34" i="5"/>
  <c r="Q35" i="5" s="1"/>
  <c r="T34" i="5" l="1"/>
  <c r="M37" i="5" s="1"/>
  <c r="M39" i="5" s="1"/>
  <c r="M41" i="5" s="1"/>
  <c r="P41" i="5" s="1"/>
  <c r="P39" i="5" l="1"/>
  <c r="Q39" i="5" s="1"/>
  <c r="N37" i="5"/>
  <c r="E59" i="4" s="1"/>
  <c r="D59" i="4"/>
  <c r="C16" i="9"/>
  <c r="H20" i="9"/>
  <c r="C25" i="4"/>
  <c r="N39" i="5" l="1"/>
  <c r="N41" i="5" s="1"/>
  <c r="E64" i="4" s="1"/>
  <c r="E2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Jamie Cough</author>
  </authors>
  <commentList>
    <comment ref="L2" authorId="0" shapeId="0" xr:uid="{00000000-0006-0000-0100-000001000000}">
      <text>
        <r>
          <rPr>
            <b/>
            <sz val="9"/>
            <color indexed="81"/>
            <rFont val="Tahoma"/>
            <family val="2"/>
          </rPr>
          <t>NOTE Yellow  is Default-changes to RED when NOT the corporate default</t>
        </r>
        <r>
          <rPr>
            <sz val="9"/>
            <color indexed="81"/>
            <rFont val="Tahoma"/>
            <family val="2"/>
          </rPr>
          <t xml:space="preserve">
</t>
        </r>
      </text>
    </comment>
    <comment ref="Q20" authorId="0" shapeId="0" xr:uid="{00000000-0006-0000-0100-000003000000}">
      <text>
        <r>
          <rPr>
            <b/>
            <sz val="9"/>
            <color indexed="81"/>
            <rFont val="Tahoma"/>
            <family val="2"/>
          </rPr>
          <t>NOTE this is the total Commercial Amps, and if multiple meters it does not reflect just 
the CT loads</t>
        </r>
        <r>
          <rPr>
            <sz val="9"/>
            <color indexed="81"/>
            <rFont val="Tahoma"/>
            <family val="2"/>
          </rPr>
          <t xml:space="preserve">
</t>
        </r>
      </text>
    </comment>
    <comment ref="Q34" authorId="0" shapeId="0" xr:uid="{00000000-0006-0000-0100-000002000000}">
      <text>
        <r>
          <rPr>
            <b/>
            <sz val="9"/>
            <color indexed="81"/>
            <rFont val="Tahoma"/>
            <family val="2"/>
          </rPr>
          <t>NOTE this is the total RESIDENTIAL 
Amps, and if multiple meters it does not reflect just 
the CT loads</t>
        </r>
        <r>
          <rPr>
            <sz val="9"/>
            <color indexed="81"/>
            <rFont val="Tahoma"/>
            <family val="2"/>
          </rPr>
          <t xml:space="preserve">
</t>
        </r>
      </text>
    </comment>
    <comment ref="P39" authorId="0" shapeId="0" xr:uid="{00000000-0006-0000-0100-000004000000}">
      <text>
        <r>
          <rPr>
            <b/>
            <sz val="9"/>
            <color indexed="81"/>
            <rFont val="Tahoma"/>
            <family val="2"/>
          </rPr>
          <t>NOTE this is the total load, and if multiple meters it does not reflect just 
the CT loads</t>
        </r>
        <r>
          <rPr>
            <sz val="9"/>
            <color indexed="81"/>
            <rFont val="Tahoma"/>
            <family val="2"/>
          </rPr>
          <t xml:space="preserve">
</t>
        </r>
      </text>
    </comment>
  </commentList>
</comments>
</file>

<file path=xl/sharedStrings.xml><?xml version="1.0" encoding="utf-8"?>
<sst xmlns="http://schemas.openxmlformats.org/spreadsheetml/2006/main" count="1180" uniqueCount="627">
  <si>
    <t>Preliminary Information for Permanent Electric Service</t>
  </si>
  <si>
    <t xml:space="preserve"> </t>
  </si>
  <si>
    <t>Return to:</t>
  </si>
  <si>
    <t>Central Maine Power Company</t>
  </si>
  <si>
    <t>Attention:</t>
  </si>
  <si>
    <t>Advisor</t>
  </si>
  <si>
    <t>Jamie Cough</t>
  </si>
  <si>
    <t>Tel#</t>
  </si>
  <si>
    <t>Email Address</t>
  </si>
  <si>
    <t>I</t>
  </si>
  <si>
    <t>GENERAL INFORMATION:</t>
  </si>
  <si>
    <t>SERVICE ADDRESS:</t>
  </si>
  <si>
    <t>SAP Notification</t>
  </si>
  <si>
    <t>Office:</t>
  </si>
  <si>
    <t>Cell:</t>
  </si>
  <si>
    <t>Other:</t>
  </si>
  <si>
    <t>OTHER CONTACT</t>
  </si>
  <si>
    <t>BLDG. USED FOR</t>
  </si>
  <si>
    <t>SQ.FT.</t>
  </si>
  <si>
    <t>II</t>
  </si>
  <si>
    <t>SITE LAYOUT:</t>
  </si>
  <si>
    <t>Attached:</t>
  </si>
  <si>
    <t>Temporary:</t>
  </si>
  <si>
    <t>ENTRANCE SWITCH:</t>
  </si>
  <si>
    <t>Volts:</t>
  </si>
  <si>
    <t>AMPS</t>
  </si>
  <si>
    <t xml:space="preserve">WIRE </t>
  </si>
  <si>
    <t xml:space="preserve"> PHASE </t>
  </si>
  <si>
    <t>TYPE OF SERVICE:</t>
  </si>
  <si>
    <t>Secondary</t>
  </si>
  <si>
    <t>Underground</t>
  </si>
  <si>
    <t>TRANSFORMER:</t>
  </si>
  <si>
    <t>Type</t>
  </si>
  <si>
    <t xml:space="preserve">METERING REQUIRED:  </t>
  </si>
  <si>
    <t>Metering Type (Pri/Sec)</t>
  </si>
  <si>
    <t>Note if multiple metering, indicate largest meter (eg 400 amp)</t>
  </si>
  <si>
    <t>III</t>
  </si>
  <si>
    <t>amps</t>
  </si>
  <si>
    <t>volts</t>
  </si>
  <si>
    <t>hrs/week</t>
  </si>
  <si>
    <t>Comments</t>
  </si>
  <si>
    <t>Lighting</t>
  </si>
  <si>
    <t>Completed by</t>
  </si>
  <si>
    <t>Diversification</t>
  </si>
  <si>
    <t>Weeks per Yr for KWH Calcs</t>
  </si>
  <si>
    <t>Advisor List</t>
  </si>
  <si>
    <t>Tel</t>
  </si>
  <si>
    <t>Fax</t>
  </si>
  <si>
    <t>Email</t>
  </si>
  <si>
    <t>Dan Begin</t>
  </si>
  <si>
    <t>Daniel.Begin@cmpco.com</t>
  </si>
  <si>
    <t>Computer</t>
  </si>
  <si>
    <t>Cooking Loads</t>
  </si>
  <si>
    <t>Laundry</t>
  </si>
  <si>
    <t>Receptacles</t>
  </si>
  <si>
    <t>Phase</t>
  </si>
  <si>
    <t>Refrigeration</t>
  </si>
  <si>
    <t>Primary</t>
  </si>
  <si>
    <t>Overhead</t>
  </si>
  <si>
    <t>Transformer Type</t>
  </si>
  <si>
    <t># Conductors</t>
  </si>
  <si>
    <t>Not Applicable</t>
  </si>
  <si>
    <t>x</t>
  </si>
  <si>
    <t>ESA</t>
  </si>
  <si>
    <t>CUSTOMER NAME:</t>
  </si>
  <si>
    <t>Phone Number:</t>
  </si>
  <si>
    <t>ELEC. CONTRACTOR:</t>
  </si>
  <si>
    <t>OTHER CONTACT:</t>
  </si>
  <si>
    <t>BLDG. USED FOR:</t>
  </si>
  <si>
    <t>SERVICE TYPE:</t>
  </si>
  <si>
    <t>SERVICE:</t>
  </si>
  <si>
    <t>New/Upgrade/Relocation</t>
  </si>
  <si>
    <t>Upgrade</t>
  </si>
  <si>
    <t>New</t>
  </si>
  <si>
    <t>MAIN DISCONNECT:</t>
  </si>
  <si>
    <t>Engineering</t>
  </si>
  <si>
    <t>Relocation</t>
  </si>
  <si>
    <t># TRANSFORMERS:</t>
  </si>
  <si>
    <t>INSTALL TRANSFORMER:</t>
  </si>
  <si>
    <t>Metering</t>
  </si>
  <si>
    <t>METERING INSTALLED BY:</t>
  </si>
  <si>
    <t>Service Center</t>
  </si>
  <si>
    <t>METER TYPE</t>
  </si>
  <si>
    <t>kWh</t>
  </si>
  <si>
    <t>kW</t>
  </si>
  <si>
    <t>kVARD</t>
  </si>
  <si>
    <t>Self Contained  or CT Metered?</t>
  </si>
  <si>
    <t xml:space="preserve">CT LOCATION: </t>
  </si>
  <si>
    <t xml:space="preserve">Portland </t>
  </si>
  <si>
    <t>Alfred</t>
  </si>
  <si>
    <t>Augusta</t>
  </si>
  <si>
    <t>Belfast</t>
  </si>
  <si>
    <t>Brunswick</t>
  </si>
  <si>
    <t>Dover</t>
  </si>
  <si>
    <t>Self Contained</t>
  </si>
  <si>
    <t>Fairfield</t>
  </si>
  <si>
    <t>Farmington</t>
  </si>
  <si>
    <t xml:space="preserve">Lewiston </t>
  </si>
  <si>
    <t>Rockland</t>
  </si>
  <si>
    <t>Skowhegan</t>
  </si>
  <si>
    <t>SUBTOTAL APT-HEAT</t>
  </si>
  <si>
    <t>SUBTOTAL APT-NON Heat</t>
  </si>
  <si>
    <t>Subtotal Apartments-Non Heat</t>
  </si>
  <si>
    <t>Subtotal Commercial and  Common</t>
  </si>
  <si>
    <t>Subtotal Apartments-Heat and A/C</t>
  </si>
  <si>
    <t>WILL FOLLOW:</t>
  </si>
  <si>
    <t>PERMANENT:</t>
  </si>
  <si>
    <t>Overhead XFMR</t>
  </si>
  <si>
    <t>Padmount XFMR</t>
  </si>
  <si>
    <r>
      <rPr>
        <b/>
        <sz val="10"/>
        <rFont val="Arial"/>
        <family val="2"/>
      </rPr>
      <t>New</t>
    </r>
    <r>
      <rPr>
        <b/>
        <sz val="8"/>
        <rFont val="Arial"/>
        <family val="2"/>
      </rPr>
      <t xml:space="preserve"> Connected Load KW</t>
    </r>
  </si>
  <si>
    <t>NEC Projected KW if Available</t>
  </si>
  <si>
    <t>PROJECTED LOADS:</t>
  </si>
  <si>
    <t>KW New Diversified</t>
  </si>
  <si>
    <t>Future Loads</t>
  </si>
  <si>
    <t>Multiple Unit Diversity</t>
  </si>
  <si>
    <t>2-4 Units</t>
  </si>
  <si>
    <t>5-9 Units</t>
  </si>
  <si>
    <t>10-14 Units</t>
  </si>
  <si>
    <t>15-19 Units</t>
  </si>
  <si>
    <t>25-29 Units</t>
  </si>
  <si>
    <t>30-34 Units</t>
  </si>
  <si>
    <t>40-49 Units</t>
  </si>
  <si>
    <t>50+ Units</t>
  </si>
  <si>
    <t>20-24 Units</t>
  </si>
  <si>
    <t>KVA Diversified NEW</t>
  </si>
  <si>
    <t>KWHrs/Yr Added</t>
  </si>
  <si>
    <t>SIC Code</t>
  </si>
  <si>
    <t>Customer Rate</t>
  </si>
  <si>
    <t>Rate Description</t>
  </si>
  <si>
    <t>Rate Code</t>
  </si>
  <si>
    <t>Voltage</t>
  </si>
  <si>
    <t>Watts/SqFt</t>
  </si>
  <si>
    <t>Total New Connected Load</t>
  </si>
  <si>
    <t>Expected Demand on This Transformer from THIS customer</t>
  </si>
  <si>
    <t xml:space="preserve">A/C </t>
  </si>
  <si>
    <t>Estimated KWH cost incl demand</t>
  </si>
  <si>
    <t>Service Centers</t>
  </si>
  <si>
    <t>New Connected Load KW</t>
  </si>
  <si>
    <t>Commercial Loads</t>
  </si>
  <si>
    <t>Residential Loads</t>
  </si>
  <si>
    <t>Additional Comments by ESA</t>
  </si>
  <si>
    <t>KVA</t>
  </si>
  <si>
    <t>Meter Type</t>
  </si>
  <si>
    <t>CTs in Pad</t>
  </si>
  <si>
    <t>CTs in Cabinet</t>
  </si>
  <si>
    <t>Meter Type and Location</t>
  </si>
  <si>
    <t>METER LOAD  on the CTs (AMPS)</t>
  </si>
  <si>
    <t>Circuit:</t>
  </si>
  <si>
    <t>Substation:</t>
  </si>
  <si>
    <t>Is Full Reduncancy of Service Rquired?</t>
  </si>
  <si>
    <t>No</t>
  </si>
  <si>
    <t>Power Factor</t>
  </si>
  <si>
    <t>Disconnect AMPS</t>
  </si>
  <si>
    <t>From Customer</t>
  </si>
  <si>
    <t>From ESA</t>
  </si>
  <si>
    <t>LOAD DATA Summary</t>
  </si>
  <si>
    <r>
      <rPr>
        <b/>
        <sz val="10"/>
        <color indexed="10"/>
        <rFont val="Arial"/>
        <family val="2"/>
      </rPr>
      <t xml:space="preserve">Existing </t>
    </r>
    <r>
      <rPr>
        <b/>
        <sz val="10"/>
        <rFont val="Arial"/>
        <family val="2"/>
      </rPr>
      <t>Demand from THIS Customer to be added to the Transformer Load</t>
    </r>
  </si>
  <si>
    <r>
      <rPr>
        <b/>
        <sz val="10"/>
        <color indexed="10"/>
        <rFont val="Arial"/>
        <family val="2"/>
      </rPr>
      <t xml:space="preserve">Existing </t>
    </r>
    <r>
      <rPr>
        <b/>
        <sz val="10"/>
        <rFont val="Arial"/>
        <family val="2"/>
      </rPr>
      <t xml:space="preserve">Demand from Other Customers served by the Transformer </t>
    </r>
  </si>
  <si>
    <r>
      <rPr>
        <b/>
        <sz val="10"/>
        <color indexed="10"/>
        <rFont val="Arial"/>
        <family val="2"/>
      </rPr>
      <t xml:space="preserve">Total Expected </t>
    </r>
    <r>
      <rPr>
        <b/>
        <sz val="10"/>
        <rFont val="Arial"/>
        <family val="2"/>
      </rPr>
      <t xml:space="preserve">Demand on This Transformer </t>
    </r>
  </si>
  <si>
    <t>Division Meter</t>
  </si>
  <si>
    <t>Overhead or Underground secondaries</t>
  </si>
  <si>
    <t>Meter Installed By:</t>
  </si>
  <si>
    <t>Service Center and Division Meter</t>
  </si>
  <si>
    <t xml:space="preserve">Total NO. OF METERS  </t>
  </si>
  <si>
    <t>AC Loads KW</t>
  </si>
  <si>
    <t>Heat Loads KW</t>
  </si>
  <si>
    <t>Total Projected NEW Loads taking only Peak A/C or Peak Heat</t>
  </si>
  <si>
    <t>weeks/yr</t>
  </si>
  <si>
    <t>City/Town:</t>
  </si>
  <si>
    <t>Service Center:</t>
  </si>
  <si>
    <r>
      <rPr>
        <b/>
        <sz val="8"/>
        <rFont val="Arial"/>
        <family val="2"/>
      </rPr>
      <t>Diversification</t>
    </r>
    <r>
      <rPr>
        <b/>
        <sz val="10"/>
        <rFont val="Arial"/>
        <family val="2"/>
      </rPr>
      <t xml:space="preserve"> Factor (note corporate defaults are loaded)</t>
    </r>
  </si>
  <si>
    <t>CU</t>
  </si>
  <si>
    <t>OHXMR 1P 10K 7.2/12.4Y 120/240 CON E EF</t>
  </si>
  <si>
    <t>OHXMR 1P 25K 12.4GRDY/7.2 277 CON E EF</t>
  </si>
  <si>
    <t>OHXMR 1P 25K 34.5GRDY/19.9 139/277C E EF</t>
  </si>
  <si>
    <t>OHXMR 1P 25K 34.5/19.9 120/240 CON E EF</t>
  </si>
  <si>
    <t>OHXMR 1P 25K 7.2/12.4Y 120/240 CON E EF</t>
  </si>
  <si>
    <t>OHXMR 1P 50K 7.2/12.4Y 120/240 CON E EF</t>
  </si>
  <si>
    <t>OHXMR 1P 50K 12.4/7.2 277 CON E EF</t>
  </si>
  <si>
    <t xml:space="preserve">D865847E </t>
  </si>
  <si>
    <t>PADXMR 3P 75K 12GY/7.2 480Y/277P FT NT E</t>
  </si>
  <si>
    <t xml:space="preserve">D865843E </t>
  </si>
  <si>
    <t>PADXMR 3P 75K 12GY/7.2 208Y/120P FT NT E</t>
  </si>
  <si>
    <t>OHXMR 1P 100K 12.4G/7.2 277 CON E EF</t>
  </si>
  <si>
    <t>OHXMR 1P 100K 34.5Y/19.9 139 X 277C E EF</t>
  </si>
  <si>
    <t xml:space="preserve">D866043E </t>
  </si>
  <si>
    <t>PADXMR 3P 150K 12GY/7.2 208Y/120P F NT E</t>
  </si>
  <si>
    <t xml:space="preserve">D866047E </t>
  </si>
  <si>
    <t xml:space="preserve">D866084E </t>
  </si>
  <si>
    <t>PADXMR 3P 150K 34.5Y/19.9 208Y/120C FT E</t>
  </si>
  <si>
    <t>OHXMR 1P 167K 12.4/7.2 277 CON E EF</t>
  </si>
  <si>
    <t xml:space="preserve">D866243E </t>
  </si>
  <si>
    <t>PADXMR 3P 300K 12GY/7.2 208Y/120P F NT E</t>
  </si>
  <si>
    <t xml:space="preserve">D866247E </t>
  </si>
  <si>
    <t>PADXMR 3P 300K 12GY/7.2 480Y/277P F NT E</t>
  </si>
  <si>
    <t xml:space="preserve">D866288E </t>
  </si>
  <si>
    <t>PADXMR 3P 300K 34.5GY/19.9 480Y/277C E</t>
  </si>
  <si>
    <t xml:space="preserve">D866344E </t>
  </si>
  <si>
    <t>PADXMR 3P 500K 12.4 208Y/120 PRO FT E EF</t>
  </si>
  <si>
    <t xml:space="preserve">D866388E </t>
  </si>
  <si>
    <t>PADXMR 3P 500K 34.5/19.9 480Y/277C FT E</t>
  </si>
  <si>
    <t xml:space="preserve">D866348E </t>
  </si>
  <si>
    <t>PADXMR 3P 500K 12.4 480/277PRO FT E EF</t>
  </si>
  <si>
    <t xml:space="preserve">D866544E </t>
  </si>
  <si>
    <t>PADXMR 3P 1000K 12GRDY 208Y/120P FT E</t>
  </si>
  <si>
    <t xml:space="preserve">D866548E </t>
  </si>
  <si>
    <t>PADXMR 3P 1000K 12.4 480Y/277PRO FT E</t>
  </si>
  <si>
    <t xml:space="preserve">D866587E </t>
  </si>
  <si>
    <t>PADXMR 3P 1000K 34.5 480Y/277 CON LF E E</t>
  </si>
  <si>
    <t xml:space="preserve">D866647E </t>
  </si>
  <si>
    <t>PADXMR 3P 1500K 12.4 480Y/277CON FT E EF</t>
  </si>
  <si>
    <t xml:space="preserve">D866687E </t>
  </si>
  <si>
    <t>PADXMR 3P 1500K 34.5 480Y/277CON LF E EF</t>
  </si>
  <si>
    <t xml:space="preserve">D866747E </t>
  </si>
  <si>
    <t>PADXMR 3P 2000K 12.4 480Y/277 C LF E E</t>
  </si>
  <si>
    <t xml:space="preserve">D866787E </t>
  </si>
  <si>
    <t>PADXMR 3P 2000K 34.5 480Y/277C LF E E</t>
  </si>
  <si>
    <t xml:space="preserve">D866847E </t>
  </si>
  <si>
    <t>PADXMR 3P 2500K 12.4 TO 480Y/277C LF E E</t>
  </si>
  <si>
    <t xml:space="preserve">D866886E </t>
  </si>
  <si>
    <t>PADXMR 3P 2500K 34.5,480Y/277 CON LF E</t>
  </si>
  <si>
    <t xml:space="preserve">D866988  </t>
  </si>
  <si>
    <t>PADXMR 3P 7500K 34-12.4GY/7.2 RAD STP E</t>
  </si>
  <si>
    <t xml:space="preserve">D868354  </t>
  </si>
  <si>
    <t xml:space="preserve">D868354E </t>
  </si>
  <si>
    <t xml:space="preserve">D868454  </t>
  </si>
  <si>
    <t xml:space="preserve">D868558  </t>
  </si>
  <si>
    <t xml:space="preserve">D868558E </t>
  </si>
  <si>
    <t xml:space="preserve">D869646  </t>
  </si>
  <si>
    <t xml:space="preserve">D869646E </t>
  </si>
  <si>
    <t>Transformer CU</t>
  </si>
  <si>
    <t>Revenue Class</t>
  </si>
  <si>
    <t>Revenue Class Description</t>
  </si>
  <si>
    <t>Both CTs and Self Contained</t>
  </si>
  <si>
    <t>Multi Unit Diversity Factor</t>
  </si>
  <si>
    <t>Total Residential Loads</t>
  </si>
  <si>
    <t>TOTAL RESIDENTIAL LOADS</t>
  </si>
  <si>
    <t>Total Commercial and  Common</t>
  </si>
  <si>
    <r>
      <t xml:space="preserve">Additional </t>
    </r>
    <r>
      <rPr>
        <b/>
        <sz val="10"/>
        <color indexed="10"/>
        <rFont val="Arial"/>
        <family val="2"/>
      </rPr>
      <t>KW</t>
    </r>
    <r>
      <rPr>
        <b/>
        <sz val="10"/>
        <rFont val="Arial"/>
        <family val="2"/>
      </rPr>
      <t xml:space="preserve"> load from </t>
    </r>
    <r>
      <rPr>
        <b/>
        <sz val="10"/>
        <color indexed="10"/>
        <rFont val="Arial"/>
        <family val="2"/>
      </rPr>
      <t>OTHER customers</t>
    </r>
    <r>
      <rPr>
        <b/>
        <sz val="10"/>
        <rFont val="Arial"/>
        <family val="2"/>
      </rPr>
      <t xml:space="preserve"> served from this transformer</t>
    </r>
  </si>
  <si>
    <t>Estimated NEW annual Revenues Commercial</t>
  </si>
  <si>
    <t>35-39 Units</t>
  </si>
  <si>
    <t>Expected KWH/YR NEW Commercial</t>
  </si>
  <si>
    <t>Expected KWH/YR NEW Residential</t>
  </si>
  <si>
    <t>Estimated NEW annual Revenues Residential</t>
  </si>
  <si>
    <t>Deposit (2 Month Basis)-Commerical only</t>
  </si>
  <si>
    <t>Voltage Choice</t>
  </si>
  <si>
    <t>1Ph. 120/208v Network</t>
  </si>
  <si>
    <t>1Ph. 120/240v</t>
  </si>
  <si>
    <t>1Ph. 120v</t>
  </si>
  <si>
    <t xml:space="preserve">1Ph. 277v </t>
  </si>
  <si>
    <t>1Ph. 480v</t>
  </si>
  <si>
    <t>3Ph. 120/208v</t>
  </si>
  <si>
    <t>3Ph. 120/240v Delta</t>
  </si>
  <si>
    <t xml:space="preserve">3Ph. 12470v </t>
  </si>
  <si>
    <t>3Ph. 277/480v</t>
  </si>
  <si>
    <t xml:space="preserve">3Ph. 34500v </t>
  </si>
  <si>
    <t>3Ph. 480v</t>
  </si>
  <si>
    <r>
      <rPr>
        <b/>
        <sz val="10"/>
        <color indexed="10"/>
        <rFont val="Arial"/>
        <family val="2"/>
      </rPr>
      <t xml:space="preserve">Existing KW </t>
    </r>
    <r>
      <rPr>
        <b/>
        <sz val="10"/>
        <rFont val="Arial"/>
        <family val="2"/>
      </rPr>
      <t>Demand from THIS Customer to be included with upgrade</t>
    </r>
  </si>
  <si>
    <t>Metering Type</t>
  </si>
  <si>
    <t>Secondary Location</t>
  </si>
  <si>
    <t>Diversification-Default</t>
  </si>
  <si>
    <t>Service Type</t>
  </si>
  <si>
    <t>xfmr25</t>
  </si>
  <si>
    <t>xfmr</t>
  </si>
  <si>
    <t>xfmr10</t>
  </si>
  <si>
    <t>xfmr50</t>
  </si>
  <si>
    <t>xfmr75</t>
  </si>
  <si>
    <t>xfmr100</t>
  </si>
  <si>
    <t>xfmr112.5</t>
  </si>
  <si>
    <t>xfmr150</t>
  </si>
  <si>
    <t>xfmr167</t>
  </si>
  <si>
    <t>xfmr300</t>
  </si>
  <si>
    <t>xfmr500</t>
  </si>
  <si>
    <t>xfmr1000</t>
  </si>
  <si>
    <t>xfmr1500</t>
  </si>
  <si>
    <t>xfmr2000</t>
  </si>
  <si>
    <t>xfmr2500</t>
  </si>
  <si>
    <t>xfmr5000</t>
  </si>
  <si>
    <t>xfmr7500</t>
  </si>
  <si>
    <t>Other</t>
  </si>
  <si>
    <t>Description</t>
  </si>
  <si>
    <t>OLD CMP</t>
  </si>
  <si>
    <t>APTs</t>
  </si>
  <si>
    <t>Bridgton</t>
  </si>
  <si>
    <t>Comments on Transformer if not a standard pick</t>
  </si>
  <si>
    <t>Other Comments on Metering (including # of End Users if applicable or Meter Location Adjustment)</t>
  </si>
  <si>
    <t>Apt/Res Load Amps</t>
  </si>
  <si>
    <t>Commercial Load Amps</t>
  </si>
  <si>
    <t>NOTE-default is the calculated amps for the total load-if mulitple meters you will need to back out the amps and put in just the CT Amps</t>
  </si>
  <si>
    <t>OHXMR 1P 100K 7.2/12.4Y 120/240CON E EF</t>
  </si>
  <si>
    <t>OHXMR 1P 167K 7.2/12.4Y 120/240C E EF</t>
  </si>
  <si>
    <t>PADXMR 3P 5000K,34.5,12.4/7.2,DF,RAD</t>
  </si>
  <si>
    <t>% Amps on Main</t>
  </si>
  <si>
    <t>jeffrey.lagueux@cmpco.com</t>
  </si>
  <si>
    <t>Jeff Lagueux</t>
  </si>
  <si>
    <t>NOTE:  To add Transformers to this list you must:</t>
  </si>
  <si>
    <t>xfmr750</t>
  </si>
  <si>
    <t>D868454</t>
  </si>
  <si>
    <t>D868458</t>
  </si>
  <si>
    <t>SUBXMR, 750K, 12.4, 208Y/120, CON, FT</t>
  </si>
  <si>
    <t>SUBXMR, 750K, 12.4, 480Y/277, CON, FT</t>
  </si>
  <si>
    <t>SUBXMR, 1000K, 12.4, 208Y/120, FT</t>
  </si>
  <si>
    <t>SUBXMR, 1000K, 12.4, 480Y/277, FT</t>
  </si>
  <si>
    <t>D868554</t>
  </si>
  <si>
    <t>D868558</t>
  </si>
  <si>
    <t xml:space="preserve">     401-1000 kw</t>
  </si>
  <si>
    <t xml:space="preserve">     1001 KW+</t>
  </si>
  <si>
    <t xml:space="preserve">     21-400 KW</t>
  </si>
  <si>
    <t xml:space="preserve">     1 - 20 KW</t>
  </si>
  <si>
    <t>Transformer</t>
  </si>
  <si>
    <t>Spec. Equipt (Welding/X-Ray/Elevators etc)</t>
  </si>
  <si>
    <t>Miscellaneous/Other Not Specified</t>
  </si>
  <si>
    <t>Note:  When adding/changing these lists, make sure you sort by the first column as these drive the lookup functions</t>
  </si>
  <si>
    <t>Use for Spacing Only</t>
  </si>
  <si>
    <t>Heating - Water</t>
  </si>
  <si>
    <t>Motor Loads General Purpose</t>
  </si>
  <si>
    <t>Motor Loads Semi Continuous</t>
  </si>
  <si>
    <t>Heating including Heat Pumps</t>
  </si>
  <si>
    <t>Motor Loads Continuous</t>
  </si>
  <si>
    <t>Default Diversification Value for Load Type</t>
  </si>
  <si>
    <t>CTs in Switchgear</t>
  </si>
  <si>
    <t>Primary Metering</t>
  </si>
  <si>
    <t>Vault or Network XFMR</t>
  </si>
  <si>
    <t>Date of EDET</t>
  </si>
  <si>
    <t># of Units</t>
  </si>
  <si>
    <t>Business Agreement #</t>
  </si>
  <si>
    <t>Transformer Notes:</t>
  </si>
  <si>
    <t>U3TD3EFAPFE</t>
  </si>
  <si>
    <t>U3XD1LUHCE</t>
  </si>
  <si>
    <t>U3TD3GFAPFE</t>
  </si>
  <si>
    <t>U3XD1NUHCE</t>
  </si>
  <si>
    <t>U3TD3JFAPFE</t>
  </si>
  <si>
    <t>U3WD3LGACF</t>
  </si>
  <si>
    <t>U3TD3MGGCFE</t>
  </si>
  <si>
    <t>U3TD3NFFGLE</t>
  </si>
  <si>
    <t>U3TD3PFGCLE</t>
  </si>
  <si>
    <t>U3TD3QFGCLE</t>
  </si>
  <si>
    <t>U3TD3RKLCR</t>
  </si>
  <si>
    <t>U3TD3SKLRSE</t>
  </si>
  <si>
    <t>U3XD1HMHCE</t>
  </si>
  <si>
    <t>U3XD1JUHCE</t>
  </si>
  <si>
    <t>U3TD3EFGPFE</t>
  </si>
  <si>
    <t>U3XD1LZDE</t>
  </si>
  <si>
    <t>U3TD3GFGPFE</t>
  </si>
  <si>
    <t>U3XD1NMBCE</t>
  </si>
  <si>
    <t>U3TD3JFGPLE</t>
  </si>
  <si>
    <t>U3WD3LGGCF</t>
  </si>
  <si>
    <t>U3TD3MGACFE</t>
  </si>
  <si>
    <t>U3TD3NKGCLE</t>
  </si>
  <si>
    <t>U3TD3PKGCLE</t>
  </si>
  <si>
    <t>U3TD3QKGCLE</t>
  </si>
  <si>
    <t>U3XD1HZBCE</t>
  </si>
  <si>
    <t>U3XD1LMBCE</t>
  </si>
  <si>
    <t>U3TD3GLACFE</t>
  </si>
  <si>
    <t>U3TD3JLGCE</t>
  </si>
  <si>
    <t>U3TD3KGACFE</t>
  </si>
  <si>
    <t>U3TD3MKGCLE</t>
  </si>
  <si>
    <t>U3XD1HZDCE</t>
  </si>
  <si>
    <t>U3TD3KGFCFE</t>
  </si>
  <si>
    <t>U3XD1HMBCE</t>
  </si>
  <si>
    <t>U3TD3KMGCFE</t>
  </si>
  <si>
    <t>U3WD3MGACF</t>
  </si>
  <si>
    <t>U3XD1FMBCE</t>
  </si>
  <si>
    <t>U3XD1JMBCTE</t>
  </si>
  <si>
    <t>U3WD3MGGCF</t>
  </si>
  <si>
    <t>U3XD1FZBCE</t>
  </si>
  <si>
    <t>D74380010E</t>
  </si>
  <si>
    <t>OHXMR 1P 10K 34GY/19.9, 120/240C E</t>
  </si>
  <si>
    <t>D448109E</t>
  </si>
  <si>
    <t>D860869E</t>
  </si>
  <si>
    <t>D860961E</t>
  </si>
  <si>
    <t>D860965E</t>
  </si>
  <si>
    <t>D448257E</t>
  </si>
  <si>
    <t>D861270E</t>
  </si>
  <si>
    <t>U3XD1JZBCTE</t>
  </si>
  <si>
    <t>D861362E</t>
  </si>
  <si>
    <t>OHXMR 1P 50K 34.5/19.9 120/240 CON E EF</t>
  </si>
  <si>
    <t>U3XD1JZDCE</t>
  </si>
  <si>
    <t>D861366E</t>
  </si>
  <si>
    <t>OHXMR 1P 50K 34.5Y/19.9 139/277CON E EF</t>
  </si>
  <si>
    <t>D448508E</t>
  </si>
  <si>
    <t>D861670E</t>
  </si>
  <si>
    <t>U3XD1LZBCE</t>
  </si>
  <si>
    <t>D861762E</t>
  </si>
  <si>
    <t>OHXMR 1P 100K 34.5/19.9 120/240 CON E EF</t>
  </si>
  <si>
    <t>D861766E</t>
  </si>
  <si>
    <t>D448010E</t>
  </si>
  <si>
    <t>PXDXMR 3P 150K 12GY/7.2 480Y/277P F NT E</t>
  </si>
  <si>
    <t>D862070E</t>
  </si>
  <si>
    <t>U3XD1NZBCE</t>
  </si>
  <si>
    <t>D862162E</t>
  </si>
  <si>
    <t>OHXMR 1P 167K 34.5GRDY/19.9-120/240 C E</t>
  </si>
  <si>
    <t>D448117E</t>
  </si>
  <si>
    <t>U3XD1NZDC</t>
  </si>
  <si>
    <t>D862166</t>
  </si>
  <si>
    <t>OHXMR, 167K, 34.5/19.9, 138.5 X 277, CON</t>
  </si>
  <si>
    <t>U3TD3JLACFE</t>
  </si>
  <si>
    <t xml:space="preserve">D866284E </t>
  </si>
  <si>
    <t>PADXMR 3P 300K 34.5Y/19.9 208Y/120C FT E</t>
  </si>
  <si>
    <t>U3WD3JGAPFE</t>
  </si>
  <si>
    <t>D868254E</t>
  </si>
  <si>
    <t>SUBXMR 3P 300K 12.4 208Y/120 PRO FT E</t>
  </si>
  <si>
    <t>U3VD3KFBCE</t>
  </si>
  <si>
    <t>D869342E</t>
  </si>
  <si>
    <t>NETXMR 3P 500K 11.5 216Y/125 CON E EF</t>
  </si>
  <si>
    <t>U3TD3KLACLE</t>
  </si>
  <si>
    <t xml:space="preserve">D866384E </t>
  </si>
  <si>
    <t>PADXMR 3P 500K 34.5GY/19. 208Y/120C LF E</t>
  </si>
  <si>
    <t>U3WD3KGAPFE</t>
  </si>
  <si>
    <t>D868354E</t>
  </si>
  <si>
    <t>SUBXMR 3P 500K 12.4 208Y/120 PRO FT E EF</t>
  </si>
  <si>
    <t>U3WD3KGGC</t>
  </si>
  <si>
    <t>D869168</t>
  </si>
  <si>
    <t>SUBXMR, 500K, 12.4, 480Y/277, CON</t>
  </si>
  <si>
    <t>U3VD3LFBCE</t>
  </si>
  <si>
    <t>D869442E</t>
  </si>
  <si>
    <t>NETXMR 3P 750K 11.5 216Y/125 CON E EF</t>
  </si>
  <si>
    <t>U3VD3LEGCE</t>
  </si>
  <si>
    <t>D869446E</t>
  </si>
  <si>
    <t>NETXMR 3P 750K 11.5-480Y/277 CON E EF</t>
  </si>
  <si>
    <t>U3WD3LGGCFE</t>
  </si>
  <si>
    <t>D868458E</t>
  </si>
  <si>
    <t>SUBXMR 3P 750K 12.4 480Y/277PRO FT E E</t>
  </si>
  <si>
    <t>U3WD3LFAPFE</t>
  </si>
  <si>
    <t>D868454E</t>
  </si>
  <si>
    <t>SUBXMR, 750K, 12.4, 208Y/120, CON, FT E EF</t>
  </si>
  <si>
    <t>U3VD3MFGCE</t>
  </si>
  <si>
    <t>D869546E</t>
  </si>
  <si>
    <t>NETXMR 3P 1000K 11.5 480Y/277 CON E EF</t>
  </si>
  <si>
    <t>U3TD3MLACF</t>
  </si>
  <si>
    <t xml:space="preserve">D866584  </t>
  </si>
  <si>
    <t>PADXMR, 1000K, 34.5, 208Y/120, PRO, FT</t>
  </si>
  <si>
    <t>U3WD3MGACFE</t>
  </si>
  <si>
    <t>D868554E</t>
  </si>
  <si>
    <t>SUBXMR 3P 1000K 12.4 208Y/120 P FT E EF</t>
  </si>
  <si>
    <t>U3WD3MFGPFE</t>
  </si>
  <si>
    <t>D868558E</t>
  </si>
  <si>
    <t>SUBXMR 3P 1000K 12.4 TO 480Y/277 P FT E</t>
  </si>
  <si>
    <t>U3VD3NEGCE</t>
  </si>
  <si>
    <t>D869646E</t>
  </si>
  <si>
    <t>NETXMR 3P 1500K 11.5-480Y/277 CON E E</t>
  </si>
  <si>
    <t>U3TD3QFGPFE</t>
  </si>
  <si>
    <t xml:space="preserve">D866848E </t>
  </si>
  <si>
    <t>PADXMR 3P 2500K 12.4 480Y/277 PRO FT E E</t>
  </si>
  <si>
    <t>U3TD3RKLCRE</t>
  </si>
  <si>
    <t>D866988E</t>
  </si>
  <si>
    <t>PADXMR 3P 5000K 34 12.4/7.2 DF RAD E E</t>
  </si>
  <si>
    <t xml:space="preserve">D867010E </t>
  </si>
  <si>
    <t>2.  Add to the section-"CMP Transformer Inventory Sorted Alphabetically…." beginning Cell A105.  Once you have added to the list, then SORT by Column A (use drop down).  Save, check, then Protect Sheet.</t>
  </si>
  <si>
    <t>name</t>
  </si>
  <si>
    <t>Calculators</t>
  </si>
  <si>
    <t>3 Ph Amps</t>
  </si>
  <si>
    <t>Amps</t>
  </si>
  <si>
    <t>KWD</t>
  </si>
  <si>
    <t>3 Ph KVA</t>
  </si>
  <si>
    <t>KW</t>
  </si>
  <si>
    <t>HP</t>
  </si>
  <si>
    <t>kw</t>
  </si>
  <si>
    <t>1 PH</t>
  </si>
  <si>
    <t>1 Ph KVA</t>
  </si>
  <si>
    <r>
      <rPr>
        <b/>
        <sz val="12"/>
        <color indexed="10"/>
        <rFont val="Arial"/>
        <family val="2"/>
        <charset val="1"/>
      </rPr>
      <t xml:space="preserve">Total Expected </t>
    </r>
    <r>
      <rPr>
        <b/>
        <sz val="12"/>
        <rFont val="Arial"/>
        <family val="2"/>
        <charset val="1"/>
      </rPr>
      <t xml:space="preserve">Demand on This Transformer </t>
    </r>
  </si>
  <si>
    <t>Brief Description of Project or Additional Comments</t>
  </si>
  <si>
    <t xml:space="preserve">Rate 550 IGS P TOU </t>
  </si>
  <si>
    <t xml:space="preserve">Rate 530 IGS S TOU </t>
  </si>
  <si>
    <t xml:space="preserve">Rate 430 LGS S TOU </t>
  </si>
  <si>
    <t>Rate 480 LGS ST TOU</t>
  </si>
  <si>
    <t>Rate 340 MGS Primary</t>
  </si>
  <si>
    <t>Rate 360 MGS PrimayTOU</t>
  </si>
  <si>
    <t xml:space="preserve">Rate 300 MGS Secondary </t>
  </si>
  <si>
    <t>Rate 320 MGS Secondary TOU</t>
  </si>
  <si>
    <t>Rate 470 LGS P TOU</t>
  </si>
  <si>
    <t xml:space="preserve">Rate 210 SGS </t>
  </si>
  <si>
    <t>Rate 220 SGS TOU</t>
  </si>
  <si>
    <t>Rate 310 MGS Secondary</t>
  </si>
  <si>
    <t>Primary Line Construction</t>
  </si>
  <si>
    <t>Existing TRANSFORMER Type</t>
  </si>
  <si>
    <t>None</t>
  </si>
  <si>
    <t>Line Construction</t>
  </si>
  <si>
    <t>Padmount</t>
  </si>
  <si>
    <t>Underground Network</t>
  </si>
  <si>
    <t>Vault</t>
  </si>
  <si>
    <t>Submersible</t>
  </si>
  <si>
    <t>Network</t>
  </si>
  <si>
    <t># SERVICES FROM XFMR</t>
  </si>
  <si>
    <t>POLE/PAD #:</t>
  </si>
  <si>
    <r>
      <rPr>
        <b/>
        <sz val="10"/>
        <color indexed="10"/>
        <rFont val="Arial"/>
        <family val="2"/>
        <charset val="1"/>
      </rPr>
      <t xml:space="preserve">Existing </t>
    </r>
    <r>
      <rPr>
        <b/>
        <sz val="10"/>
        <rFont val="Arial"/>
        <family val="2"/>
        <charset val="1"/>
      </rPr>
      <t xml:space="preserve">Demand from Other Customers served by the Transformer </t>
    </r>
  </si>
  <si>
    <r>
      <rPr>
        <b/>
        <sz val="10"/>
        <color indexed="10"/>
        <rFont val="Arial"/>
        <family val="2"/>
        <charset val="1"/>
      </rPr>
      <t xml:space="preserve">Existing </t>
    </r>
    <r>
      <rPr>
        <b/>
        <sz val="10"/>
        <rFont val="Arial"/>
        <family val="2"/>
        <charset val="1"/>
      </rPr>
      <t>Demand from THIS Customer to be added to the Transformer Load</t>
    </r>
  </si>
  <si>
    <t>AMPs</t>
  </si>
  <si>
    <t>Install Transformer Size</t>
  </si>
  <si>
    <t>Pole or Pad #:</t>
  </si>
  <si>
    <t>U3TD1NUECFE</t>
  </si>
  <si>
    <t xml:space="preserve">D865553E </t>
  </si>
  <si>
    <t>PADXMR 1P 167K 12.4/7.2 240/120P FT E EF</t>
  </si>
  <si>
    <t xml:space="preserve">D865553  </t>
  </si>
  <si>
    <t>1.  Add to the appropriate information to the CMP Transformer Inventory (Beginning in Cell B79).  Make sure to use the same formatting and language as well as change the Ranges for each range in line 80.   (Go into Name Manager to expand the Range-it looks for the name range-the third column of each transformer set on Row 79) Sortbyname</t>
  </si>
  <si>
    <t>Default is from ESA Tab</t>
  </si>
  <si>
    <t>New Upgrade or Relocation</t>
  </si>
  <si>
    <t>Generation</t>
  </si>
  <si>
    <t>The following information must be provided as soon as it is known.  Processing, approval and acquisition of transformers and equipment may require multiple months before service can be energized.</t>
  </si>
  <si>
    <r>
      <t xml:space="preserve">Enter </t>
    </r>
    <r>
      <rPr>
        <b/>
        <sz val="10"/>
        <color rgb="FFFF0000"/>
        <rFont val="Arial"/>
        <family val="2"/>
      </rPr>
      <t>Load Type</t>
    </r>
    <r>
      <rPr>
        <b/>
        <sz val="10"/>
        <rFont val="Arial"/>
        <family val="2"/>
      </rPr>
      <t>-Use</t>
    </r>
    <r>
      <rPr>
        <b/>
        <sz val="10"/>
        <color rgb="FFFF0000"/>
        <rFont val="Arial"/>
        <family val="2"/>
      </rPr>
      <t xml:space="preserve"> drop down</t>
    </r>
    <r>
      <rPr>
        <b/>
        <sz val="10"/>
        <rFont val="Arial"/>
        <family val="2"/>
      </rPr>
      <t xml:space="preserve"> in each cell</t>
    </r>
  </si>
  <si>
    <t>Rifat Syed</t>
  </si>
  <si>
    <t>rifat.syed@cmpco.com</t>
  </si>
  <si>
    <t>Rate A 1P Residential</t>
  </si>
  <si>
    <t>Residential</t>
  </si>
  <si>
    <t>Division Meter-note 1200a max</t>
  </si>
  <si>
    <t>KW per Apt</t>
  </si>
  <si>
    <t xml:space="preserve">KW </t>
  </si>
  <si>
    <t xml:space="preserve">KVA </t>
  </si>
  <si>
    <t>Richard.delaney@cmpco.com</t>
  </si>
  <si>
    <t>Rick Delaney</t>
  </si>
  <si>
    <t>Total Load on this Transformer</t>
  </si>
  <si>
    <t>Instructions to fill out load sheet</t>
  </si>
  <si>
    <t>Service Information Section:</t>
  </si>
  <si>
    <t>General Information Section:</t>
  </si>
  <si>
    <t>METERING INFORMATION:</t>
  </si>
  <si>
    <t>Be sure to fill out:</t>
  </si>
  <si>
    <t>Entrance Switch Size: Voltage Required and Amps</t>
  </si>
  <si>
    <r>
      <t xml:space="preserve">Transformer type and service: </t>
    </r>
    <r>
      <rPr>
        <b/>
        <i/>
        <sz val="10"/>
        <rFont val="Arial"/>
        <family val="2"/>
      </rPr>
      <t>I.E. Overhead transformer with Underground service</t>
    </r>
  </si>
  <si>
    <t>Metering Section:</t>
  </si>
  <si>
    <r>
      <t xml:space="preserve">Metering type and location: Self-contained or CT rated - </t>
    </r>
    <r>
      <rPr>
        <b/>
        <i/>
        <sz val="10"/>
        <rFont val="Arial"/>
        <family val="2"/>
      </rPr>
      <t>I.E. CTS IN PAD</t>
    </r>
  </si>
  <si>
    <t>Number of meters</t>
  </si>
  <si>
    <t>Indicate largest meter</t>
  </si>
  <si>
    <t>Number of apartments if applicable</t>
  </si>
  <si>
    <t>Special comments if helpful</t>
  </si>
  <si>
    <t>New Connected Loads:</t>
  </si>
  <si>
    <t>Residential Section:</t>
  </si>
  <si>
    <t>Commercial Section:</t>
  </si>
  <si>
    <t>Primary or Secondary Metering - typically secondary unless larger industrial customer</t>
  </si>
  <si>
    <t>Load calculators have been provided to the right of the commercial section if needed.</t>
  </si>
  <si>
    <t>Please provide all applicable data:</t>
  </si>
  <si>
    <t>Please provide amps / volts / hours per week if known - Comments can be made in column "H".</t>
  </si>
  <si>
    <t>Completed By &amp; additional comments</t>
  </si>
  <si>
    <t>Please provide the name of the person that completed the load sheet.  This is very helpful if questions arise.</t>
  </si>
  <si>
    <r>
      <t xml:space="preserve">Be sure to fill out KW in the "C" column.  If you know the NEC projected loads, you can provide that </t>
    </r>
    <r>
      <rPr>
        <b/>
        <i/>
        <sz val="10"/>
        <rFont val="Arial"/>
        <family val="2"/>
      </rPr>
      <t>in-addition-to</t>
    </r>
    <r>
      <rPr>
        <sz val="10"/>
        <rFont val="Arial"/>
        <family val="2"/>
      </rPr>
      <t xml:space="preserve"> the total KW.</t>
    </r>
  </si>
  <si>
    <t>Please separate out regular loads from A/C / Heat &amp; Heat pumps in the rows provided.  Please provide existing if applicable.</t>
  </si>
  <si>
    <t>Please fill out all new and existing if an upgrade is occurring, Comments in the "H" can be very helpful</t>
  </si>
  <si>
    <t>Please provide electrical contractor name, phone number &amp; email address.  This contact will be provided to the meter worker if they need to contact the electrician.  Please fill in building use, this helps determine the Standard Industrial Classification (SIC code).  The square footage is important as it can be used to determine a rough ballpark for future usage</t>
  </si>
  <si>
    <t>Gary Ham</t>
  </si>
  <si>
    <t>Gary.Ham@cmpco.com</t>
  </si>
  <si>
    <t>Load Type - Residential</t>
  </si>
  <si>
    <t>Load Type - Res - HVAC</t>
  </si>
  <si>
    <t>Car Charging</t>
  </si>
  <si>
    <t>COPY FOR FP TASK: 16</t>
  </si>
  <si>
    <t>TRANSFORMER(S):</t>
  </si>
  <si>
    <t>METERING:</t>
  </si>
  <si>
    <t>TOTAL METER COUNT:</t>
  </si>
  <si>
    <t>TOTAL APT COUNT:</t>
  </si>
  <si>
    <t>NUMBER OF 1PH MTRS:</t>
  </si>
  <si>
    <t>NUMBER OF 3PH MTRS:</t>
  </si>
  <si>
    <t>METERING QUICK VIEW:</t>
  </si>
  <si>
    <t xml:space="preserve">TOTAL No. OF METERS  </t>
  </si>
  <si>
    <t>NEW CONNECTED COMMERCIAL LOADS:</t>
  </si>
  <si>
    <t>NEW CONNECTED RESIDENTIAL LOADS:</t>
  </si>
  <si>
    <t>SWITCH BOARD METERING REQUIRES WORKING WITH DIVISION METER SUPERVISION
A SPEC SHEET OF THE METERING EQUIPEMENT WILL NEED TO BE PROVIDED
INCIDENT ENERGY LEVEL READINGS WILL ALSO NEED TO BE PROVIDED</t>
  </si>
  <si>
    <t>PROJECT NAME:</t>
  </si>
  <si>
    <t>SAP NOTIFICATION:</t>
  </si>
  <si>
    <t>BUSINESS AGREEMENT:</t>
  </si>
  <si>
    <t>PHONE NUMBER:</t>
  </si>
  <si>
    <t>Temp</t>
  </si>
  <si>
    <t>Number of 3PH Meters</t>
  </si>
  <si>
    <t>Number of 1PH Meters</t>
  </si>
  <si>
    <t>Service type:
New / Upgrade / Relocate / Temp</t>
  </si>
  <si>
    <t>DATE SERVICE REQUIRED:</t>
  </si>
  <si>
    <t>Voltage:</t>
  </si>
  <si>
    <t>Voltage Required:</t>
  </si>
  <si>
    <t>PHASE:</t>
  </si>
  <si>
    <t>IF LARGE # OF METERS ARE NEEDED, CONTACT METER DEPT SUPERVISOR</t>
  </si>
  <si>
    <t>NEW SERVICE INFORMATION</t>
  </si>
  <si>
    <t>Switch Size
Amps:</t>
  </si>
  <si>
    <t>N/a</t>
  </si>
  <si>
    <t>Industrial</t>
  </si>
  <si>
    <t>Commercial</t>
  </si>
  <si>
    <t>Number of Aparments</t>
  </si>
  <si>
    <t>VOLTAGE REQ'D
 ENTERED BY ELEC.</t>
  </si>
  <si>
    <t>Reason for Transaction</t>
  </si>
  <si>
    <t>GLOBAL ADD A METER</t>
  </si>
  <si>
    <t>Nearest txf for TCC:</t>
  </si>
  <si>
    <t>Cust Name:</t>
  </si>
  <si>
    <t>BuAg #:</t>
  </si>
  <si>
    <t>Meter No.:</t>
  </si>
  <si>
    <t>New Reg. Group:</t>
  </si>
  <si>
    <t>New Reg. Factor (MLA):</t>
  </si>
  <si>
    <t>New Billing Factor:</t>
  </si>
  <si>
    <t>New KYZ:</t>
  </si>
  <si>
    <t>New Meter Prog. I.D.:</t>
  </si>
  <si>
    <t>Meter Seal:</t>
  </si>
  <si>
    <t>Disc. Loc. Type:</t>
  </si>
  <si>
    <t>New Load Control:</t>
  </si>
  <si>
    <t>Meter Voltage:</t>
  </si>
  <si>
    <t>No. End Users:</t>
  </si>
  <si>
    <t>{</t>
  </si>
  <si>
    <t>}</t>
  </si>
  <si>
    <t>Glbl Not. #:</t>
  </si>
  <si>
    <t>Nearest Meter:</t>
  </si>
  <si>
    <t>Text Cy Code:</t>
  </si>
  <si>
    <t>RSC:</t>
  </si>
  <si>
    <t>Meter Loc:</t>
  </si>
  <si>
    <t>Keys:</t>
  </si>
  <si>
    <t>Add Instrument Transformer:</t>
  </si>
  <si>
    <t>TYPE (CT, VT, XCV)</t>
  </si>
  <si>
    <t>SERIAL NUMBER</t>
  </si>
  <si>
    <t>RATIO</t>
  </si>
  <si>
    <t>Read Instructions:</t>
  </si>
  <si>
    <t>Freeform Text:</t>
  </si>
  <si>
    <t>Technician:</t>
  </si>
  <si>
    <t>Date Wired:</t>
  </si>
  <si>
    <t>Time:</t>
  </si>
  <si>
    <t>Service Cable Terminated:</t>
  </si>
  <si>
    <t>Main Disc. Size:</t>
  </si>
  <si>
    <t>Date Energized:</t>
  </si>
  <si>
    <t>Jay Agreste</t>
  </si>
  <si>
    <t>Jay.Agreste@cmpco.com</t>
  </si>
  <si>
    <t>Bus. Partner:</t>
  </si>
  <si>
    <t>Load Type - Commercial</t>
  </si>
  <si>
    <t>Kathy Dumont</t>
  </si>
  <si>
    <t>katherine.dumont@cmpco.com</t>
  </si>
  <si>
    <t>jcough@cmpco.com</t>
  </si>
  <si>
    <t>Paul Duperre</t>
  </si>
  <si>
    <t>pduperre@cmpco.com</t>
  </si>
  <si>
    <t>MID</t>
  </si>
  <si>
    <t>Transformer Description</t>
  </si>
  <si>
    <t xml:space="preserve">D74380025E </t>
  </si>
  <si>
    <t>OHXMR 1P 25K 34.5/19.9 120/240 CON</t>
  </si>
  <si>
    <t>If Entrance Switch is greater than 400 amps 120/208v /240v or 200 amps for 277/480v CTS are required. 
If switch over 1200 amps, CTS must be in pad OR in CMP APPROVED Switchgear
1PH CTS are only allowed in a cabinet</t>
  </si>
  <si>
    <t>D74380025E</t>
  </si>
  <si>
    <t>FORT HILL 624D1</t>
  </si>
  <si>
    <t>CMP Transformer Inventory (Normal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</si>
</sst>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lt;=9999999]###\-####;\(###&quot;) &quot;###\-####"/>
    <numFmt numFmtId="165" formatCode="###\-###\-####\-###"/>
    <numFmt numFmtId="166" formatCode="mm/dd/yy"/>
    <numFmt numFmtId="167" formatCode="_(* #,##0.00_);_(* \(#,##0.00\);_(* \-??_);_(@_)"/>
    <numFmt numFmtId="168" formatCode="_(* #,##0.0_);_(* \(#,##0.0\);_(* \-??_);_(@_)"/>
    <numFmt numFmtId="169" formatCode="_(* #,##0_);_(* \(#,##0\);_(* \-??_);_(@_)"/>
    <numFmt numFmtId="170" formatCode="_(\$* #,##0.00_);_(\$* \(#,##0.00\);_(\$* \-??_);_(@_)"/>
    <numFmt numFmtId="171" formatCode="_(\$* #,##0_);_(\$* \(#,##0\);_(\$* \-??_);_(@_)"/>
    <numFmt numFmtId="172" formatCode="_(* #,##0_);_(* \(#,##0\);_(* &quot;-&quot;??_);_(@_)"/>
    <numFmt numFmtId="173" formatCode="_(* #,##0.0_);_(* \(#,##0.0\);_(* &quot;-&quot;?_);_(@_)"/>
    <numFmt numFmtId="174" formatCode="_(* #,##0_);_(* \(#,##0\);_(* &quot;-&quot;?_);_(@_)"/>
    <numFmt numFmtId="175" formatCode="0.0"/>
    <numFmt numFmtId="176" formatCode="0.000"/>
  </numFmts>
  <fonts count="89" x14ac:knownFonts="1">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sz val="10"/>
      <name val="Arial"/>
      <family val="2"/>
      <charset val="1"/>
    </font>
    <font>
      <b/>
      <sz val="10"/>
      <name val="Arial"/>
      <family val="2"/>
      <charset val="1"/>
    </font>
    <font>
      <b/>
      <sz val="6"/>
      <name val="Arial"/>
      <family val="2"/>
      <charset val="1"/>
    </font>
    <font>
      <sz val="8"/>
      <name val="Arial"/>
      <family val="2"/>
      <charset val="1"/>
    </font>
    <font>
      <b/>
      <sz val="8"/>
      <name val="Arial"/>
      <family val="2"/>
      <charset val="1"/>
    </font>
    <font>
      <sz val="10"/>
      <color indexed="22"/>
      <name val="Arial"/>
      <family val="2"/>
      <charset val="1"/>
    </font>
    <font>
      <sz val="10"/>
      <color indexed="9"/>
      <name val="Arial"/>
      <family val="2"/>
      <charset val="1"/>
    </font>
    <font>
      <b/>
      <sz val="10"/>
      <color indexed="22"/>
      <name val="Arial"/>
      <family val="2"/>
      <charset val="1"/>
    </font>
    <font>
      <sz val="8"/>
      <color indexed="22"/>
      <name val="Arial"/>
      <family val="2"/>
      <charset val="1"/>
    </font>
    <font>
      <u/>
      <sz val="8"/>
      <color indexed="22"/>
      <name val="Arial"/>
      <family val="2"/>
      <charset val="1"/>
    </font>
    <font>
      <u/>
      <sz val="10"/>
      <color indexed="12"/>
      <name val="Arial"/>
      <family val="2"/>
      <charset val="1"/>
    </font>
    <font>
      <b/>
      <sz val="8"/>
      <color indexed="22"/>
      <name val="Arial"/>
      <family val="2"/>
      <charset val="1"/>
    </font>
    <font>
      <sz val="9"/>
      <name val="Arial"/>
      <family val="2"/>
      <charset val="1"/>
    </font>
    <font>
      <sz val="10"/>
      <name val="Arial"/>
      <family val="2"/>
    </font>
    <font>
      <b/>
      <sz val="8"/>
      <name val="Arial"/>
      <family val="2"/>
    </font>
    <font>
      <b/>
      <sz val="10"/>
      <name val="Arial"/>
      <family val="2"/>
    </font>
    <font>
      <u/>
      <sz val="10"/>
      <color indexed="12"/>
      <name val="Arial"/>
      <family val="2"/>
    </font>
    <font>
      <sz val="9"/>
      <color indexed="81"/>
      <name val="Tahoma"/>
      <family val="2"/>
    </font>
    <font>
      <b/>
      <sz val="9"/>
      <color indexed="81"/>
      <name val="Tahoma"/>
      <family val="2"/>
    </font>
    <font>
      <sz val="10"/>
      <color indexed="22"/>
      <name val="Arial"/>
      <family val="2"/>
    </font>
    <font>
      <b/>
      <sz val="8"/>
      <color indexed="22"/>
      <name val="Times New Roman"/>
      <family val="1"/>
    </font>
    <font>
      <b/>
      <sz val="10"/>
      <color indexed="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charset val="1"/>
    </font>
    <font>
      <b/>
      <sz val="11"/>
      <name val="Arial"/>
      <family val="2"/>
      <charset val="1"/>
    </font>
    <font>
      <b/>
      <sz val="11"/>
      <name val="Arial"/>
      <family val="2"/>
    </font>
    <font>
      <sz val="8"/>
      <color indexed="22"/>
      <name val="Arial"/>
      <family val="2"/>
    </font>
    <font>
      <b/>
      <sz val="9"/>
      <name val="Arial"/>
      <family val="2"/>
    </font>
    <font>
      <sz val="11"/>
      <color theme="1"/>
      <name val="Calibri"/>
      <family val="2"/>
      <scheme val="minor"/>
    </font>
    <font>
      <sz val="10"/>
      <color theme="0"/>
      <name val="Arial"/>
      <family val="2"/>
    </font>
    <font>
      <sz val="10"/>
      <color rgb="FF9C0006"/>
      <name val="Times New Roman"/>
      <family val="2"/>
    </font>
    <font>
      <sz val="10"/>
      <color theme="1"/>
      <name val="Times New Roman"/>
      <family val="2"/>
    </font>
    <font>
      <sz val="8"/>
      <color rgb="FF9C0006"/>
      <name val="Times New Roman"/>
      <family val="2"/>
    </font>
    <font>
      <sz val="10"/>
      <color theme="0" tint="-0.14999847407452621"/>
      <name val="Arial"/>
      <family val="2"/>
    </font>
    <font>
      <b/>
      <sz val="10"/>
      <color rgb="FFFF0000"/>
      <name val="Arial"/>
      <family val="2"/>
    </font>
    <font>
      <b/>
      <sz val="10"/>
      <color theme="0" tint="-0.14999847407452621"/>
      <name val="Arial"/>
      <family val="2"/>
    </font>
    <font>
      <sz val="10"/>
      <color rgb="FF006100"/>
      <name val="Arial"/>
      <family val="2"/>
    </font>
    <font>
      <b/>
      <sz val="10"/>
      <color theme="1"/>
      <name val="Arial"/>
      <family val="2"/>
    </font>
    <font>
      <u/>
      <sz val="10"/>
      <color theme="10"/>
      <name val="Arial"/>
      <family val="2"/>
    </font>
    <font>
      <b/>
      <sz val="12"/>
      <name val="Arial"/>
      <family val="2"/>
      <charset val="1"/>
    </font>
    <font>
      <sz val="12"/>
      <name val="Arial"/>
      <family val="2"/>
      <charset val="1"/>
    </font>
    <font>
      <b/>
      <sz val="12"/>
      <color indexed="10"/>
      <name val="Arial"/>
      <family val="2"/>
      <charset val="1"/>
    </font>
    <font>
      <sz val="12"/>
      <color theme="1"/>
      <name val="Arial"/>
      <family val="2"/>
      <charset val="1"/>
    </font>
    <font>
      <b/>
      <sz val="12"/>
      <color theme="0" tint="-0.14999847407452621"/>
      <name val="Arial"/>
      <family val="2"/>
      <charset val="1"/>
    </font>
    <font>
      <sz val="10"/>
      <name val="Arial"/>
      <family val="2"/>
    </font>
    <font>
      <sz val="6"/>
      <color indexed="22"/>
      <name val="Arial"/>
      <family val="2"/>
      <charset val="1"/>
    </font>
    <font>
      <sz val="8"/>
      <name val="Arial"/>
      <family val="2"/>
    </font>
    <font>
      <sz val="6"/>
      <name val="Arial"/>
      <family val="2"/>
    </font>
    <font>
      <b/>
      <sz val="10"/>
      <color indexed="10"/>
      <name val="Arial"/>
      <family val="2"/>
      <charset val="1"/>
    </font>
    <font>
      <b/>
      <sz val="6"/>
      <name val="Arial"/>
      <family val="2"/>
    </font>
    <font>
      <sz val="6"/>
      <name val="Arial"/>
      <family val="2"/>
      <charset val="1"/>
    </font>
    <font>
      <sz val="9"/>
      <color rgb="FFFF0000"/>
      <name val="Arial"/>
      <family val="2"/>
      <charset val="1"/>
    </font>
    <font>
      <b/>
      <sz val="12"/>
      <name val="Arial"/>
      <family val="2"/>
    </font>
    <font>
      <b/>
      <i/>
      <sz val="10"/>
      <name val="Arial"/>
      <family val="2"/>
    </font>
    <font>
      <sz val="11"/>
      <name val="Arial"/>
      <family val="2"/>
      <charset val="1"/>
    </font>
    <font>
      <sz val="9"/>
      <name val="Arial"/>
      <family val="2"/>
    </font>
    <font>
      <sz val="11"/>
      <name val="Arial"/>
      <family val="2"/>
    </font>
    <font>
      <sz val="12"/>
      <name val="Arial"/>
      <family val="2"/>
    </font>
    <font>
      <sz val="16"/>
      <name val="Arial"/>
      <family val="2"/>
      <charset val="1"/>
    </font>
    <font>
      <sz val="14"/>
      <name val="Arial"/>
      <family val="2"/>
    </font>
    <font>
      <sz val="10"/>
      <color rgb="FFFF0000"/>
      <name val="Arial"/>
      <family val="2"/>
    </font>
    <font>
      <b/>
      <sz val="10"/>
      <color theme="4"/>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31"/>
      </patternFill>
    </fill>
    <fill>
      <patternFill patternType="solid">
        <fgColor indexed="9"/>
        <bgColor indexed="26"/>
      </patternFill>
    </fill>
    <fill>
      <patternFill patternType="solid">
        <fgColor theme="6"/>
      </patternFill>
    </fill>
    <fill>
      <patternFill patternType="solid">
        <fgColor rgb="FFFFC7CE"/>
      </patternFill>
    </fill>
    <fill>
      <patternFill patternType="solid">
        <fgColor rgb="FF92D050"/>
        <bgColor indexed="26"/>
      </patternFill>
    </fill>
    <fill>
      <patternFill patternType="solid">
        <fgColor rgb="FF92D050"/>
        <bgColor indexed="64"/>
      </patternFill>
    </fill>
    <fill>
      <patternFill patternType="solid">
        <fgColor theme="2"/>
        <bgColor indexed="64"/>
      </patternFill>
    </fill>
    <fill>
      <patternFill patternType="solid">
        <fgColor theme="2"/>
        <bgColor indexed="26"/>
      </patternFill>
    </fill>
    <fill>
      <patternFill patternType="solid">
        <fgColor theme="2"/>
        <bgColor indexed="31"/>
      </patternFill>
    </fill>
    <fill>
      <patternFill patternType="solid">
        <fgColor theme="2"/>
        <bgColor indexed="41"/>
      </patternFill>
    </fill>
    <fill>
      <patternFill patternType="solid">
        <fgColor rgb="FFFF0000"/>
        <bgColor indexed="64"/>
      </patternFill>
    </fill>
    <fill>
      <patternFill patternType="solid">
        <fgColor rgb="FFFFFF00"/>
        <bgColor indexed="26"/>
      </patternFill>
    </fill>
    <fill>
      <patternFill patternType="solid">
        <fgColor rgb="FFFFFF00"/>
        <bgColor indexed="64"/>
      </patternFill>
    </fill>
    <fill>
      <patternFill patternType="solid">
        <fgColor rgb="FFFFFF00"/>
        <bgColor indexed="41"/>
      </patternFill>
    </fill>
    <fill>
      <patternFill patternType="solid">
        <fgColor theme="0"/>
        <bgColor indexed="41"/>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indexed="22"/>
        <bgColor indexed="64"/>
      </patternFill>
    </fill>
    <fill>
      <patternFill patternType="solid">
        <fgColor indexed="1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26"/>
      </patternFill>
    </fill>
    <fill>
      <patternFill patternType="solid">
        <fgColor theme="0"/>
        <bgColor indexed="64"/>
      </patternFill>
    </fill>
    <fill>
      <patternFill patternType="solid">
        <fgColor rgb="FFFFFF99"/>
        <bgColor indexed="26"/>
      </patternFill>
    </fill>
    <fill>
      <patternFill patternType="solid">
        <fgColor theme="4" tint="0.79998168889431442"/>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8"/>
      </left>
      <right/>
      <top/>
      <bottom style="medium">
        <color indexed="8"/>
      </bottom>
      <diagonal/>
    </border>
    <border>
      <left/>
      <right/>
      <top style="medium">
        <color indexed="64"/>
      </top>
      <bottom style="thin">
        <color indexed="8"/>
      </bottom>
      <diagonal/>
    </border>
    <border>
      <left/>
      <right style="medium">
        <color indexed="64"/>
      </right>
      <top style="thin">
        <color indexed="8"/>
      </top>
      <bottom style="thin">
        <color indexed="8"/>
      </bottom>
      <diagonal/>
    </border>
    <border>
      <left style="thin">
        <color indexed="8"/>
      </left>
      <right style="medium">
        <color indexed="64"/>
      </right>
      <top/>
      <bottom/>
      <diagonal/>
    </border>
    <border>
      <left/>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8"/>
      </bottom>
      <diagonal/>
    </border>
    <border>
      <left style="thin">
        <color indexed="64"/>
      </left>
      <right style="medium">
        <color indexed="64"/>
      </right>
      <top/>
      <bottom style="thin">
        <color indexed="64"/>
      </bottom>
      <diagonal/>
    </border>
    <border>
      <left style="thin">
        <color indexed="8"/>
      </left>
      <right style="thin">
        <color indexed="64"/>
      </right>
      <top style="medium">
        <color indexed="64"/>
      </top>
      <bottom style="thin">
        <color indexed="64"/>
      </bottom>
      <diagonal/>
    </border>
    <border>
      <left/>
      <right style="medium">
        <color indexed="64"/>
      </right>
      <top/>
      <bottom style="thin">
        <color indexed="8"/>
      </bottom>
      <diagonal/>
    </border>
    <border>
      <left style="thin">
        <color indexed="8"/>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8"/>
      </right>
      <top style="thin">
        <color indexed="8"/>
      </top>
      <bottom style="medium">
        <color indexed="64"/>
      </bottom>
      <diagonal/>
    </border>
    <border>
      <left/>
      <right/>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8"/>
      </top>
      <bottom style="thin">
        <color indexed="8"/>
      </bottom>
      <diagonal/>
    </border>
    <border>
      <left style="medium">
        <color indexed="8"/>
      </left>
      <right/>
      <top style="medium">
        <color indexed="8"/>
      </top>
      <bottom style="medium">
        <color indexed="8"/>
      </bottom>
      <diagonal/>
    </border>
    <border>
      <left style="thin">
        <color indexed="8"/>
      </left>
      <right/>
      <top style="medium">
        <color indexed="64"/>
      </top>
      <bottom/>
      <diagonal/>
    </border>
    <border>
      <left/>
      <right style="thin">
        <color indexed="8"/>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8"/>
      </bottom>
      <diagonal/>
    </border>
    <border>
      <left style="medium">
        <color indexed="64"/>
      </left>
      <right/>
      <top style="medium">
        <color indexed="64"/>
      </top>
      <bottom style="medium">
        <color indexed="8"/>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thin">
        <color indexed="8"/>
      </right>
      <top style="thin">
        <color indexed="8"/>
      </top>
      <bottom/>
      <diagonal/>
    </border>
    <border>
      <left style="thin">
        <color indexed="8"/>
      </left>
      <right style="medium">
        <color indexed="64"/>
      </right>
      <top/>
      <bottom style="thin">
        <color indexed="8"/>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bottom style="thin">
        <color indexed="8"/>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8"/>
      </right>
      <top/>
      <bottom/>
      <diagonal/>
    </border>
    <border>
      <left/>
      <right style="thin">
        <color indexed="64"/>
      </right>
      <top style="medium">
        <color indexed="64"/>
      </top>
      <bottom style="medium">
        <color indexed="64"/>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indexed="64"/>
      </top>
      <bottom/>
      <diagonal/>
    </border>
    <border>
      <left style="medium">
        <color rgb="FFFF0000"/>
      </left>
      <right style="medium">
        <color rgb="FFFF0000"/>
      </right>
      <top style="medium">
        <color rgb="FFFF0000"/>
      </top>
      <bottom style="medium">
        <color indexed="64"/>
      </bottom>
      <diagonal/>
    </border>
    <border>
      <left style="medium">
        <color indexed="64"/>
      </left>
      <right style="medium">
        <color indexed="64"/>
      </right>
      <top style="medium">
        <color indexed="64"/>
      </top>
      <bottom style="thin">
        <color indexed="8"/>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8"/>
      </bottom>
      <diagonal/>
    </border>
    <border>
      <left style="thin">
        <color indexed="8"/>
      </left>
      <right/>
      <top/>
      <bottom style="thin">
        <color indexed="8"/>
      </bottom>
      <diagonal/>
    </border>
  </borders>
  <cellStyleXfs count="354">
    <xf numFmtId="0" fontId="0" fillId="0" borderId="0"/>
    <xf numFmtId="0" fontId="33" fillId="2" borderId="0" applyNumberFormat="0" applyBorder="0" applyAlignment="0" applyProtection="0"/>
    <xf numFmtId="0" fontId="8" fillId="2" borderId="0" applyNumberFormat="0" applyBorder="0" applyAlignment="0" applyProtection="0"/>
    <xf numFmtId="0" fontId="33" fillId="3" borderId="0" applyNumberFormat="0" applyBorder="0" applyAlignment="0" applyProtection="0"/>
    <xf numFmtId="0" fontId="8" fillId="3" borderId="0" applyNumberFormat="0" applyBorder="0" applyAlignment="0" applyProtection="0"/>
    <xf numFmtId="0" fontId="33" fillId="4" borderId="0" applyNumberFormat="0" applyBorder="0" applyAlignment="0" applyProtection="0"/>
    <xf numFmtId="0" fontId="8" fillId="4" borderId="0" applyNumberFormat="0" applyBorder="0" applyAlignment="0" applyProtection="0"/>
    <xf numFmtId="0" fontId="33" fillId="5" borderId="0" applyNumberFormat="0" applyBorder="0" applyAlignment="0" applyProtection="0"/>
    <xf numFmtId="0" fontId="8" fillId="5" borderId="0" applyNumberFormat="0" applyBorder="0" applyAlignment="0" applyProtection="0"/>
    <xf numFmtId="0" fontId="33" fillId="6" borderId="0" applyNumberFormat="0" applyBorder="0" applyAlignment="0" applyProtection="0"/>
    <xf numFmtId="0" fontId="8" fillId="6" borderId="0" applyNumberFormat="0" applyBorder="0" applyAlignment="0" applyProtection="0"/>
    <xf numFmtId="0" fontId="33" fillId="7" borderId="0" applyNumberFormat="0" applyBorder="0" applyAlignment="0" applyProtection="0"/>
    <xf numFmtId="0" fontId="8" fillId="7" borderId="0" applyNumberFormat="0" applyBorder="0" applyAlignment="0" applyProtection="0"/>
    <xf numFmtId="0" fontId="33" fillId="8" borderId="0" applyNumberFormat="0" applyBorder="0" applyAlignment="0" applyProtection="0"/>
    <xf numFmtId="0" fontId="8" fillId="8" borderId="0" applyNumberFormat="0" applyBorder="0" applyAlignment="0" applyProtection="0"/>
    <xf numFmtId="0" fontId="33" fillId="9" borderId="0" applyNumberFormat="0" applyBorder="0" applyAlignment="0" applyProtection="0"/>
    <xf numFmtId="0" fontId="8" fillId="9" borderId="0" applyNumberFormat="0" applyBorder="0" applyAlignment="0" applyProtection="0"/>
    <xf numFmtId="0" fontId="33" fillId="10" borderId="0" applyNumberFormat="0" applyBorder="0" applyAlignment="0" applyProtection="0"/>
    <xf numFmtId="0" fontId="8" fillId="10" borderId="0" applyNumberFormat="0" applyBorder="0" applyAlignment="0" applyProtection="0"/>
    <xf numFmtId="0" fontId="33" fillId="5" borderId="0" applyNumberFormat="0" applyBorder="0" applyAlignment="0" applyProtection="0"/>
    <xf numFmtId="0" fontId="8" fillId="5" borderId="0" applyNumberFormat="0" applyBorder="0" applyAlignment="0" applyProtection="0"/>
    <xf numFmtId="0" fontId="33" fillId="8" borderId="0" applyNumberFormat="0" applyBorder="0" applyAlignment="0" applyProtection="0"/>
    <xf numFmtId="0" fontId="8" fillId="8" borderId="0" applyNumberFormat="0" applyBorder="0" applyAlignment="0" applyProtection="0"/>
    <xf numFmtId="0" fontId="33" fillId="11" borderId="0" applyNumberFormat="0" applyBorder="0" applyAlignment="0" applyProtection="0"/>
    <xf numFmtId="0" fontId="8"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57" fillId="27"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167" fontId="10" fillId="0" borderId="0"/>
    <xf numFmtId="43" fontId="9" fillId="0" borderId="0" applyFont="0" applyFill="0" applyBorder="0" applyAlignment="0" applyProtection="0"/>
    <xf numFmtId="43" fontId="23"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170" fontId="10" fillId="0" borderId="0"/>
    <xf numFmtId="44" fontId="9" fillId="0" borderId="0" applyFont="0" applyFill="0" applyBorder="0" applyAlignment="0" applyProtection="0"/>
    <xf numFmtId="44" fontId="23"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9" fillId="0" borderId="0" applyFont="0" applyFill="0" applyBorder="0" applyAlignment="0" applyProtection="0"/>
    <xf numFmtId="0" fontId="10" fillId="0" borderId="0"/>
    <xf numFmtId="0" fontId="38"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0" fillId="0" borderId="0"/>
    <xf numFmtId="0" fontId="26" fillId="0" borderId="0" applyNumberFormat="0" applyFill="0" applyBorder="0" applyAlignment="0" applyProtection="0">
      <alignment vertical="top"/>
      <protection locked="0"/>
    </xf>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9" fillId="0" borderId="0"/>
    <xf numFmtId="0" fontId="23" fillId="0" borderId="0"/>
    <xf numFmtId="0" fontId="9" fillId="0" borderId="0"/>
    <xf numFmtId="0" fontId="32" fillId="0" borderId="0"/>
    <xf numFmtId="0" fontId="55" fillId="0" borderId="0"/>
    <xf numFmtId="0" fontId="9" fillId="0" borderId="0"/>
    <xf numFmtId="0" fontId="58" fillId="0" borderId="0"/>
    <xf numFmtId="0" fontId="58" fillId="0" borderId="0"/>
    <xf numFmtId="0" fontId="9" fillId="23" borderId="7" applyNumberFormat="0" applyFont="0" applyAlignment="0" applyProtection="0"/>
    <xf numFmtId="0" fontId="46" fillId="20" borderId="8" applyNumberFormat="0" applyAlignment="0" applyProtection="0"/>
    <xf numFmtId="9" fontId="10" fillId="0" borderId="0"/>
    <xf numFmtId="9" fontId="9"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9" fillId="0" borderId="0"/>
    <xf numFmtId="0" fontId="65" fillId="0" borderId="0" applyNumberFormat="0" applyFill="0" applyBorder="0" applyAlignment="0" applyProtection="0"/>
    <xf numFmtId="0" fontId="7" fillId="0" borderId="0"/>
    <xf numFmtId="0" fontId="58" fillId="0" borderId="0"/>
    <xf numFmtId="0" fontId="9" fillId="0" borderId="0"/>
    <xf numFmtId="167" fontId="10" fillId="0" borderId="0"/>
    <xf numFmtId="170" fontId="10" fillId="0" borderId="0"/>
    <xf numFmtId="44" fontId="9" fillId="0" borderId="0" applyFont="0" applyFill="0" applyBorder="0" applyAlignment="0" applyProtection="0"/>
    <xf numFmtId="0" fontId="20" fillId="0" borderId="0"/>
    <xf numFmtId="0" fontId="9" fillId="0" borderId="0"/>
    <xf numFmtId="9" fontId="10" fillId="0" borderId="0"/>
    <xf numFmtId="9" fontId="9" fillId="0" borderId="0" applyFont="0" applyFill="0" applyBorder="0" applyAlignment="0" applyProtection="0"/>
    <xf numFmtId="0" fontId="57" fillId="27" borderId="0" applyNumberFormat="0" applyBorder="0" applyAlignment="0" applyProtection="0"/>
    <xf numFmtId="0" fontId="9" fillId="0" borderId="0"/>
    <xf numFmtId="0" fontId="58" fillId="0" borderId="0"/>
    <xf numFmtId="0" fontId="56" fillId="26" borderId="0" applyNumberFormat="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63" fillId="41" borderId="0" applyNumberFormat="0" applyBorder="0" applyAlignment="0" applyProtection="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1"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4" fillId="0" borderId="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cellStyleXfs>
  <cellXfs count="635">
    <xf numFmtId="0" fontId="0" fillId="0" borderId="0" xfId="0"/>
    <xf numFmtId="0" fontId="11" fillId="0" borderId="0" xfId="53" applyFont="1"/>
    <xf numFmtId="0" fontId="10" fillId="0" borderId="0" xfId="53"/>
    <xf numFmtId="0" fontId="12" fillId="0" borderId="0" xfId="53" applyFont="1"/>
    <xf numFmtId="0" fontId="13" fillId="0" borderId="0" xfId="53" applyFont="1"/>
    <xf numFmtId="0" fontId="14" fillId="0" borderId="0" xfId="53" applyFont="1"/>
    <xf numFmtId="0" fontId="11" fillId="0" borderId="0" xfId="53" applyFont="1" applyAlignment="1">
      <alignment wrapText="1"/>
    </xf>
    <xf numFmtId="0" fontId="10" fillId="0" borderId="0" xfId="53" applyAlignment="1">
      <alignment wrapText="1"/>
    </xf>
    <xf numFmtId="0" fontId="13" fillId="0" borderId="0" xfId="53" applyFont="1" applyAlignment="1">
      <alignment wrapText="1"/>
    </xf>
    <xf numFmtId="0" fontId="13" fillId="0" borderId="0" xfId="53" applyFont="1" applyAlignment="1">
      <alignment horizontal="left" wrapText="1"/>
    </xf>
    <xf numFmtId="0" fontId="11" fillId="0" borderId="0" xfId="53" applyFont="1" applyAlignment="1">
      <alignment horizontal="left"/>
    </xf>
    <xf numFmtId="0" fontId="15" fillId="0" borderId="0" xfId="53" applyFont="1"/>
    <xf numFmtId="0" fontId="17" fillId="0" borderId="0" xfId="53" applyFont="1"/>
    <xf numFmtId="0" fontId="15" fillId="0" borderId="0" xfId="53" applyFont="1" applyAlignment="1">
      <alignment wrapText="1"/>
    </xf>
    <xf numFmtId="0" fontId="18" fillId="0" borderId="0" xfId="53" applyFont="1"/>
    <xf numFmtId="9" fontId="18" fillId="0" borderId="0" xfId="75" applyFont="1"/>
    <xf numFmtId="1" fontId="18" fillId="0" borderId="0" xfId="53" applyNumberFormat="1" applyFont="1"/>
    <xf numFmtId="164" fontId="18" fillId="0" borderId="0" xfId="53" applyNumberFormat="1" applyFont="1"/>
    <xf numFmtId="0" fontId="19" fillId="0" borderId="0" xfId="60" applyFont="1"/>
    <xf numFmtId="0" fontId="21" fillId="0" borderId="0" xfId="53" applyFont="1"/>
    <xf numFmtId="0" fontId="18" fillId="0" borderId="0" xfId="53" applyFont="1" applyAlignment="1">
      <alignment horizontal="left"/>
    </xf>
    <xf numFmtId="0" fontId="24" fillId="0" borderId="0" xfId="53" applyFont="1" applyAlignment="1">
      <alignment wrapText="1"/>
    </xf>
    <xf numFmtId="0" fontId="25" fillId="0" borderId="0" xfId="53" applyFont="1" applyAlignment="1">
      <alignment wrapText="1"/>
    </xf>
    <xf numFmtId="0" fontId="18" fillId="0" borderId="0" xfId="53" quotePrefix="1" applyFont="1"/>
    <xf numFmtId="0" fontId="25" fillId="0" borderId="0" xfId="53" applyFont="1"/>
    <xf numFmtId="0" fontId="30" fillId="0" borderId="0" xfId="0" applyFont="1" applyAlignment="1">
      <alignment horizontal="center"/>
    </xf>
    <xf numFmtId="0" fontId="10" fillId="30" borderId="0" xfId="53" applyFill="1" applyAlignment="1">
      <alignment horizontal="right"/>
    </xf>
    <xf numFmtId="0" fontId="29" fillId="0" borderId="0" xfId="0" applyFont="1"/>
    <xf numFmtId="0" fontId="13" fillId="0" borderId="0" xfId="53" applyFont="1" applyAlignment="1">
      <alignment horizontal="left"/>
    </xf>
    <xf numFmtId="0" fontId="13" fillId="0" borderId="0" xfId="53" applyFont="1" applyAlignment="1">
      <alignment horizontal="center" wrapText="1"/>
    </xf>
    <xf numFmtId="0" fontId="11" fillId="30" borderId="0" xfId="53" applyFont="1" applyFill="1" applyAlignment="1">
      <alignment wrapText="1"/>
    </xf>
    <xf numFmtId="164" fontId="13" fillId="32" borderId="24" xfId="53" applyNumberFormat="1" applyFont="1" applyFill="1" applyBorder="1" applyAlignment="1">
      <alignment horizontal="left" wrapText="1"/>
    </xf>
    <xf numFmtId="169" fontId="10" fillId="0" borderId="0" xfId="41" applyNumberFormat="1"/>
    <xf numFmtId="164" fontId="13" fillId="0" borderId="24" xfId="53" applyNumberFormat="1" applyFont="1" applyBorder="1" applyAlignment="1">
      <alignment horizontal="left" wrapText="1"/>
    </xf>
    <xf numFmtId="0" fontId="13" fillId="0" borderId="24" xfId="53" applyFont="1" applyBorder="1" applyAlignment="1">
      <alignment horizontal="left"/>
    </xf>
    <xf numFmtId="0" fontId="13" fillId="0" borderId="0" xfId="53" applyFont="1" applyAlignment="1">
      <alignment horizontal="right"/>
    </xf>
    <xf numFmtId="0" fontId="10" fillId="0" borderId="0" xfId="53" applyAlignment="1">
      <alignment horizontal="right"/>
    </xf>
    <xf numFmtId="0" fontId="10" fillId="0" borderId="0" xfId="53" applyAlignment="1">
      <alignment horizontal="center"/>
    </xf>
    <xf numFmtId="0" fontId="10" fillId="0" borderId="25" xfId="53" applyBorder="1" applyAlignment="1">
      <alignment horizontal="right"/>
    </xf>
    <xf numFmtId="0" fontId="10" fillId="0" borderId="26" xfId="53" applyBorder="1" applyAlignment="1">
      <alignment horizontal="right"/>
    </xf>
    <xf numFmtId="0" fontId="22" fillId="0" borderId="0" xfId="53" applyFont="1" applyAlignment="1">
      <alignment horizontal="left"/>
    </xf>
    <xf numFmtId="0" fontId="13" fillId="0" borderId="27" xfId="53" applyFont="1" applyBorder="1"/>
    <xf numFmtId="0" fontId="0" fillId="0" borderId="31" xfId="0" applyBorder="1"/>
    <xf numFmtId="0" fontId="11" fillId="0" borderId="32" xfId="53" applyFont="1" applyBorder="1" applyAlignment="1">
      <alignment horizontal="center" vertical="center" textRotation="90"/>
    </xf>
    <xf numFmtId="0" fontId="13" fillId="24" borderId="15" xfId="53" applyFont="1" applyFill="1" applyBorder="1" applyAlignment="1">
      <alignment horizontal="center"/>
    </xf>
    <xf numFmtId="0" fontId="13" fillId="0" borderId="28" xfId="53" applyFont="1" applyBorder="1" applyAlignment="1">
      <alignment horizontal="left"/>
    </xf>
    <xf numFmtId="0" fontId="10" fillId="32" borderId="19" xfId="53" applyFill="1" applyBorder="1"/>
    <xf numFmtId="0" fontId="10" fillId="32" borderId="34" xfId="53" applyFill="1" applyBorder="1"/>
    <xf numFmtId="0" fontId="13" fillId="0" borderId="30" xfId="53" applyFont="1" applyBorder="1" applyAlignment="1">
      <alignment horizontal="left"/>
    </xf>
    <xf numFmtId="0" fontId="25" fillId="0" borderId="0" xfId="0" applyFont="1" applyAlignment="1">
      <alignment wrapText="1"/>
    </xf>
    <xf numFmtId="0" fontId="24" fillId="0" borderId="0" xfId="53" applyFont="1"/>
    <xf numFmtId="169" fontId="10" fillId="29" borderId="23" xfId="41" applyNumberFormat="1" applyFill="1" applyBorder="1"/>
    <xf numFmtId="0" fontId="25" fillId="29" borderId="23" xfId="53" applyFont="1" applyFill="1" applyBorder="1" applyAlignment="1">
      <alignment wrapText="1"/>
    </xf>
    <xf numFmtId="169" fontId="25" fillId="29" borderId="23" xfId="41" applyNumberFormat="1" applyFont="1" applyFill="1" applyBorder="1"/>
    <xf numFmtId="1" fontId="11" fillId="30" borderId="0" xfId="53" applyNumberFormat="1" applyFont="1" applyFill="1"/>
    <xf numFmtId="0" fontId="10" fillId="30" borderId="23" xfId="53" applyFill="1" applyBorder="1"/>
    <xf numFmtId="0" fontId="13" fillId="24" borderId="33" xfId="53" applyFont="1" applyFill="1" applyBorder="1" applyAlignment="1">
      <alignment horizontal="left" wrapText="1"/>
    </xf>
    <xf numFmtId="0" fontId="10" fillId="0" borderId="39" xfId="53" applyBorder="1" applyAlignment="1">
      <alignment horizontal="left"/>
    </xf>
    <xf numFmtId="0" fontId="10" fillId="0" borderId="40" xfId="53" applyBorder="1" applyAlignment="1">
      <alignment horizontal="left"/>
    </xf>
    <xf numFmtId="0" fontId="10" fillId="0" borderId="41" xfId="53" applyBorder="1" applyAlignment="1">
      <alignment horizontal="left"/>
    </xf>
    <xf numFmtId="0" fontId="10" fillId="0" borderId="42" xfId="53" applyBorder="1" applyAlignment="1">
      <alignment horizontal="left"/>
    </xf>
    <xf numFmtId="0" fontId="10" fillId="0" borderId="43" xfId="53" applyBorder="1" applyAlignment="1">
      <alignment horizontal="left"/>
    </xf>
    <xf numFmtId="0" fontId="10" fillId="0" borderId="44" xfId="53" applyBorder="1" applyAlignment="1">
      <alignment horizontal="left" wrapText="1"/>
    </xf>
    <xf numFmtId="169" fontId="60" fillId="0" borderId="0" xfId="41" applyNumberFormat="1" applyFont="1"/>
    <xf numFmtId="169" fontId="60" fillId="0" borderId="0" xfId="0" applyNumberFormat="1" applyFont="1"/>
    <xf numFmtId="0" fontId="60" fillId="0" borderId="0" xfId="0" applyFont="1" applyAlignment="1">
      <alignment wrapText="1"/>
    </xf>
    <xf numFmtId="0" fontId="10" fillId="36" borderId="23" xfId="53" applyFill="1" applyBorder="1" applyProtection="1">
      <protection locked="0"/>
    </xf>
    <xf numFmtId="0" fontId="13" fillId="37" borderId="53" xfId="53" applyFont="1" applyFill="1" applyBorder="1" applyAlignment="1" applyProtection="1">
      <alignment horizontal="center"/>
      <protection locked="0"/>
    </xf>
    <xf numFmtId="0" fontId="16" fillId="0" borderId="0" xfId="53" applyFont="1"/>
    <xf numFmtId="0" fontId="17" fillId="0" borderId="0" xfId="53" applyFont="1" applyAlignment="1">
      <alignment wrapText="1"/>
    </xf>
    <xf numFmtId="0" fontId="13" fillId="30" borderId="54" xfId="53" applyFont="1" applyFill="1" applyBorder="1" applyAlignment="1">
      <alignment wrapText="1"/>
    </xf>
    <xf numFmtId="0" fontId="13" fillId="33" borderId="23" xfId="53" applyFont="1" applyFill="1" applyBorder="1" applyAlignment="1">
      <alignment wrapText="1"/>
    </xf>
    <xf numFmtId="0" fontId="13" fillId="33" borderId="23" xfId="53" applyFont="1" applyFill="1" applyBorder="1"/>
    <xf numFmtId="0" fontId="13" fillId="30" borderId="55" xfId="53" applyFont="1" applyFill="1" applyBorder="1"/>
    <xf numFmtId="0" fontId="13" fillId="30" borderId="52" xfId="53" applyFont="1" applyFill="1" applyBorder="1"/>
    <xf numFmtId="0" fontId="13" fillId="37" borderId="24" xfId="53" applyFont="1" applyFill="1" applyBorder="1" applyAlignment="1" applyProtection="1">
      <alignment horizontal="center"/>
      <protection locked="0"/>
    </xf>
    <xf numFmtId="0" fontId="13" fillId="38" borderId="56" xfId="53" applyFont="1" applyFill="1" applyBorder="1" applyAlignment="1" applyProtection="1">
      <alignment wrapText="1"/>
      <protection locked="0"/>
    </xf>
    <xf numFmtId="0" fontId="13" fillId="37" borderId="57" xfId="53" applyFont="1" applyFill="1" applyBorder="1" applyAlignment="1" applyProtection="1">
      <alignment horizontal="center"/>
      <protection locked="0"/>
    </xf>
    <xf numFmtId="0" fontId="50" fillId="0" borderId="38" xfId="53" applyFont="1" applyBorder="1" applyAlignment="1">
      <alignment wrapText="1"/>
    </xf>
    <xf numFmtId="172" fontId="25" fillId="30" borderId="23" xfId="53" applyNumberFormat="1" applyFont="1" applyFill="1" applyBorder="1"/>
    <xf numFmtId="0" fontId="13" fillId="0" borderId="0" xfId="53" applyFont="1" applyAlignment="1" applyProtection="1">
      <alignment vertical="center"/>
      <protection locked="0"/>
    </xf>
    <xf numFmtId="0" fontId="25" fillId="0" borderId="0" xfId="0" applyFont="1"/>
    <xf numFmtId="0" fontId="25" fillId="0" borderId="39" xfId="0" applyFont="1" applyBorder="1"/>
    <xf numFmtId="0" fontId="0" fillId="0" borderId="27" xfId="0" applyBorder="1"/>
    <xf numFmtId="0" fontId="0" fillId="0" borderId="40" xfId="0" applyBorder="1"/>
    <xf numFmtId="0" fontId="0" fillId="0" borderId="29" xfId="0" applyBorder="1"/>
    <xf numFmtId="0" fontId="0" fillId="0" borderId="23" xfId="0" applyBorder="1"/>
    <xf numFmtId="1" fontId="52" fillId="32" borderId="62" xfId="53" applyNumberFormat="1" applyFont="1" applyFill="1" applyBorder="1" applyAlignment="1">
      <alignment horizontal="center"/>
    </xf>
    <xf numFmtId="0" fontId="21" fillId="0" borderId="0" xfId="53" applyFont="1" applyAlignment="1">
      <alignment horizontal="left"/>
    </xf>
    <xf numFmtId="169" fontId="25" fillId="30" borderId="0" xfId="41" applyNumberFormat="1" applyFont="1" applyFill="1" applyAlignment="1">
      <alignment horizontal="left"/>
    </xf>
    <xf numFmtId="169" fontId="10" fillId="30" borderId="23" xfId="41" applyNumberFormat="1" applyFill="1" applyBorder="1"/>
    <xf numFmtId="0" fontId="62" fillId="0" borderId="0" xfId="0" applyFont="1"/>
    <xf numFmtId="170" fontId="22" fillId="36" borderId="23" xfId="47" applyFont="1" applyFill="1" applyBorder="1" applyProtection="1">
      <protection locked="0"/>
    </xf>
    <xf numFmtId="169" fontId="0" fillId="0" borderId="0" xfId="0" applyNumberFormat="1"/>
    <xf numFmtId="0" fontId="13" fillId="36" borderId="23" xfId="53" applyFont="1" applyFill="1" applyBorder="1" applyAlignment="1" applyProtection="1">
      <alignment wrapText="1"/>
      <protection locked="0"/>
    </xf>
    <xf numFmtId="0" fontId="53" fillId="0" borderId="0" xfId="53" applyFont="1"/>
    <xf numFmtId="0" fontId="25" fillId="39" borderId="0" xfId="0" applyFont="1" applyFill="1" applyAlignment="1">
      <alignment wrapText="1"/>
    </xf>
    <xf numFmtId="9" fontId="0" fillId="0" borderId="0" xfId="0" applyNumberFormat="1"/>
    <xf numFmtId="0" fontId="11" fillId="36" borderId="20" xfId="53" applyFont="1" applyFill="1" applyBorder="1" applyAlignment="1" applyProtection="1">
      <alignment horizontal="center" wrapText="1"/>
      <protection locked="0"/>
    </xf>
    <xf numFmtId="0" fontId="24" fillId="28" borderId="78" xfId="53" applyFont="1" applyFill="1" applyBorder="1" applyAlignment="1">
      <alignment horizontal="left"/>
    </xf>
    <xf numFmtId="0" fontId="25" fillId="0" borderId="0" xfId="53" applyFont="1" applyAlignment="1">
      <alignment horizontal="left" vertical="center" wrapText="1"/>
    </xf>
    <xf numFmtId="14" fontId="25" fillId="30" borderId="60" xfId="53" applyNumberFormat="1" applyFont="1" applyFill="1" applyBorder="1"/>
    <xf numFmtId="0" fontId="10" fillId="36" borderId="65" xfId="53" applyFill="1" applyBorder="1" applyProtection="1">
      <protection locked="0"/>
    </xf>
    <xf numFmtId="0" fontId="11" fillId="0" borderId="0" xfId="53" applyFont="1" applyAlignment="1">
      <alignment horizontal="left" wrapText="1"/>
    </xf>
    <xf numFmtId="0" fontId="25" fillId="30" borderId="0" xfId="53" applyFont="1" applyFill="1" applyAlignment="1">
      <alignment horizontal="left" vertical="center" wrapText="1"/>
    </xf>
    <xf numFmtId="0" fontId="54" fillId="30" borderId="0" xfId="0" applyFont="1" applyFill="1" applyAlignment="1">
      <alignment wrapText="1"/>
    </xf>
    <xf numFmtId="0" fontId="25" fillId="30" borderId="0" xfId="0" applyFont="1" applyFill="1" applyAlignment="1">
      <alignment wrapText="1"/>
    </xf>
    <xf numFmtId="0" fontId="64" fillId="0" borderId="0" xfId="0" applyFont="1"/>
    <xf numFmtId="0" fontId="7" fillId="0" borderId="0" xfId="0" applyFont="1"/>
    <xf numFmtId="0" fontId="64" fillId="0" borderId="0" xfId="53" applyFont="1"/>
    <xf numFmtId="0" fontId="13" fillId="40" borderId="23" xfId="53" applyFont="1" applyFill="1" applyBorder="1" applyAlignment="1">
      <alignment horizontal="right" wrapText="1"/>
    </xf>
    <xf numFmtId="0" fontId="13" fillId="36" borderId="23" xfId="53" applyFont="1" applyFill="1" applyBorder="1" applyAlignment="1" applyProtection="1">
      <alignment horizontal="center" wrapText="1"/>
      <protection locked="0"/>
    </xf>
    <xf numFmtId="1" fontId="66" fillId="30" borderId="0" xfId="53" applyNumberFormat="1" applyFont="1" applyFill="1"/>
    <xf numFmtId="0" fontId="7" fillId="0" borderId="0" xfId="106"/>
    <xf numFmtId="0" fontId="25" fillId="0" borderId="27" xfId="0" applyFont="1" applyBorder="1"/>
    <xf numFmtId="0" fontId="0" fillId="36" borderId="30" xfId="0" applyFill="1" applyBorder="1"/>
    <xf numFmtId="0" fontId="25" fillId="43" borderId="0" xfId="0" applyFont="1" applyFill="1"/>
    <xf numFmtId="1" fontId="25" fillId="42" borderId="0" xfId="0" applyNumberFormat="1" applyFont="1" applyFill="1"/>
    <xf numFmtId="1" fontId="25" fillId="36" borderId="0" xfId="0" applyNumberFormat="1" applyFont="1" applyFill="1"/>
    <xf numFmtId="175" fontId="25" fillId="42" borderId="0" xfId="0" applyNumberFormat="1" applyFont="1" applyFill="1"/>
    <xf numFmtId="0" fontId="25" fillId="36" borderId="28" xfId="0" applyFont="1" applyFill="1" applyBorder="1"/>
    <xf numFmtId="0" fontId="25" fillId="0" borderId="40" xfId="0" applyFont="1" applyBorder="1"/>
    <xf numFmtId="0" fontId="25" fillId="0" borderId="29" xfId="0" applyFont="1" applyBorder="1"/>
    <xf numFmtId="0" fontId="25" fillId="43" borderId="29" xfId="0" applyFont="1" applyFill="1" applyBorder="1"/>
    <xf numFmtId="1" fontId="0" fillId="44" borderId="40" xfId="0" applyNumberFormat="1" applyFill="1" applyBorder="1"/>
    <xf numFmtId="1" fontId="0" fillId="44" borderId="41" xfId="0" applyNumberFormat="1" applyFill="1" applyBorder="1"/>
    <xf numFmtId="0" fontId="0" fillId="45" borderId="30" xfId="0" applyFill="1" applyBorder="1"/>
    <xf numFmtId="0" fontId="10" fillId="0" borderId="39" xfId="53" applyBorder="1" applyAlignment="1">
      <alignment wrapText="1"/>
    </xf>
    <xf numFmtId="0" fontId="10" fillId="0" borderId="27" xfId="53" applyBorder="1" applyAlignment="1">
      <alignment wrapText="1"/>
    </xf>
    <xf numFmtId="0" fontId="10" fillId="0" borderId="40" xfId="53" applyBorder="1"/>
    <xf numFmtId="175" fontId="25" fillId="44" borderId="40" xfId="0" applyNumberFormat="1" applyFont="1" applyFill="1" applyBorder="1"/>
    <xf numFmtId="0" fontId="10" fillId="0" borderId="29" xfId="53" applyBorder="1"/>
    <xf numFmtId="0" fontId="10" fillId="0" borderId="31" xfId="53" applyBorder="1"/>
    <xf numFmtId="0" fontId="67" fillId="0" borderId="39" xfId="53" applyFont="1" applyBorder="1" applyAlignment="1">
      <alignment horizontal="left"/>
    </xf>
    <xf numFmtId="0" fontId="67" fillId="0" borderId="0" xfId="0" applyFont="1"/>
    <xf numFmtId="0" fontId="67" fillId="0" borderId="0" xfId="53" applyFont="1" applyAlignment="1">
      <alignment horizontal="center" wrapText="1"/>
    </xf>
    <xf numFmtId="0" fontId="67" fillId="32" borderId="23" xfId="53" applyFont="1" applyFill="1" applyBorder="1" applyAlignment="1">
      <alignment horizontal="left"/>
    </xf>
    <xf numFmtId="0" fontId="67" fillId="0" borderId="0" xfId="53" applyFont="1"/>
    <xf numFmtId="0" fontId="66" fillId="0" borderId="0" xfId="53" applyFont="1"/>
    <xf numFmtId="0" fontId="67" fillId="0" borderId="27" xfId="53" applyFont="1" applyBorder="1" applyAlignment="1">
      <alignment horizontal="right"/>
    </xf>
    <xf numFmtId="0" fontId="67" fillId="0" borderId="27" xfId="53" applyFont="1" applyBorder="1"/>
    <xf numFmtId="0" fontId="67" fillId="32" borderId="14" xfId="53" applyFont="1" applyFill="1" applyBorder="1"/>
    <xf numFmtId="0" fontId="67" fillId="0" borderId="28" xfId="53" applyFont="1" applyBorder="1"/>
    <xf numFmtId="0" fontId="67" fillId="0" borderId="0" xfId="53" applyFont="1" applyAlignment="1">
      <alignment horizontal="right"/>
    </xf>
    <xf numFmtId="0" fontId="66" fillId="0" borderId="0" xfId="53" applyFont="1" applyAlignment="1">
      <alignment horizontal="left" vertical="center" wrapText="1"/>
    </xf>
    <xf numFmtId="0" fontId="66" fillId="0" borderId="0" xfId="53" applyFont="1" applyAlignment="1">
      <alignment vertical="center" wrapText="1"/>
    </xf>
    <xf numFmtId="0" fontId="67" fillId="0" borderId="0" xfId="53" applyFont="1" applyAlignment="1">
      <alignment wrapText="1"/>
    </xf>
    <xf numFmtId="0" fontId="69" fillId="0" borderId="0" xfId="0" applyFont="1"/>
    <xf numFmtId="0" fontId="70" fillId="0" borderId="0" xfId="0" applyFont="1"/>
    <xf numFmtId="0" fontId="69" fillId="0" borderId="0" xfId="106" applyFont="1"/>
    <xf numFmtId="0" fontId="67" fillId="0" borderId="29" xfId="0" applyFont="1" applyBorder="1"/>
    <xf numFmtId="0" fontId="66" fillId="0" borderId="39" xfId="53" applyFont="1" applyBorder="1"/>
    <xf numFmtId="0" fontId="67" fillId="33" borderId="14" xfId="53" applyFont="1" applyFill="1" applyBorder="1" applyAlignment="1">
      <alignment horizontal="left"/>
    </xf>
    <xf numFmtId="0" fontId="24" fillId="28" borderId="49" xfId="53" applyFont="1" applyFill="1" applyBorder="1" applyAlignment="1">
      <alignment horizontal="left"/>
    </xf>
    <xf numFmtId="0" fontId="67" fillId="0" borderId="27" xfId="53" applyFont="1" applyBorder="1" applyAlignment="1">
      <alignment wrapText="1"/>
    </xf>
    <xf numFmtId="169" fontId="10" fillId="35" borderId="23" xfId="41" applyNumberFormat="1" applyFill="1" applyBorder="1" applyAlignment="1" applyProtection="1">
      <alignment horizontal="right"/>
      <protection locked="0"/>
    </xf>
    <xf numFmtId="0" fontId="72" fillId="0" borderId="0" xfId="53" applyFont="1"/>
    <xf numFmtId="0" fontId="13" fillId="0" borderId="87" xfId="53" applyFont="1" applyBorder="1" applyAlignment="1">
      <alignment wrapText="1"/>
    </xf>
    <xf numFmtId="0" fontId="13" fillId="33" borderId="47" xfId="53" applyFont="1" applyFill="1" applyBorder="1" applyAlignment="1">
      <alignment horizontal="left"/>
    </xf>
    <xf numFmtId="0" fontId="13" fillId="0" borderId="29" xfId="53" applyFont="1" applyBorder="1"/>
    <xf numFmtId="0" fontId="10" fillId="0" borderId="52" xfId="53" applyBorder="1"/>
    <xf numFmtId="0" fontId="13" fillId="33" borderId="23" xfId="53" applyFont="1" applyFill="1" applyBorder="1" applyAlignment="1">
      <alignment horizontal="right" wrapText="1"/>
    </xf>
    <xf numFmtId="0" fontId="13" fillId="0" borderId="76" xfId="53" applyFont="1" applyBorder="1" applyAlignment="1">
      <alignment horizontal="left"/>
    </xf>
    <xf numFmtId="0" fontId="13" fillId="0" borderId="23" xfId="53" applyFont="1" applyBorder="1" applyAlignment="1">
      <alignment horizontal="right"/>
    </xf>
    <xf numFmtId="0" fontId="13" fillId="32" borderId="16" xfId="53" applyFont="1" applyFill="1" applyBorder="1" applyAlignment="1">
      <alignment horizontal="left"/>
    </xf>
    <xf numFmtId="0" fontId="52" fillId="32" borderId="23" xfId="53" applyFont="1" applyFill="1" applyBorder="1" applyAlignment="1">
      <alignment horizontal="left"/>
    </xf>
    <xf numFmtId="0" fontId="52" fillId="33" borderId="12" xfId="53" applyFont="1" applyFill="1" applyBorder="1" applyAlignment="1">
      <alignment horizontal="left"/>
    </xf>
    <xf numFmtId="0" fontId="11" fillId="0" borderId="0" xfId="53" applyFont="1" applyAlignment="1">
      <alignment horizontal="left" vertical="center" wrapText="1"/>
    </xf>
    <xf numFmtId="0" fontId="22" fillId="0" borderId="31" xfId="53" applyFont="1" applyBorder="1" applyAlignment="1">
      <alignment horizontal="left"/>
    </xf>
    <xf numFmtId="0" fontId="10" fillId="37" borderId="23" xfId="53" applyFill="1" applyBorder="1" applyProtection="1">
      <protection locked="0"/>
    </xf>
    <xf numFmtId="0" fontId="59" fillId="27" borderId="45" xfId="37" applyFont="1" applyBorder="1"/>
    <xf numFmtId="0" fontId="74" fillId="0" borderId="0" xfId="0" applyFont="1"/>
    <xf numFmtId="0" fontId="22" fillId="0" borderId="30" xfId="53" applyFont="1" applyBorder="1" applyAlignment="1">
      <alignment horizontal="left"/>
    </xf>
    <xf numFmtId="0" fontId="13" fillId="32" borderId="52" xfId="53" applyFont="1" applyFill="1" applyBorder="1"/>
    <xf numFmtId="0" fontId="13" fillId="37" borderId="45" xfId="53" applyFont="1" applyFill="1" applyBorder="1" applyAlignment="1" applyProtection="1">
      <alignment horizontal="left"/>
      <protection locked="0"/>
    </xf>
    <xf numFmtId="0" fontId="10" fillId="0" borderId="29" xfId="53" applyBorder="1" applyAlignment="1">
      <alignment horizontal="center"/>
    </xf>
    <xf numFmtId="0" fontId="13" fillId="32" borderId="17" xfId="53" applyFont="1" applyFill="1" applyBorder="1" applyAlignment="1">
      <alignment horizontal="left"/>
    </xf>
    <xf numFmtId="0" fontId="22" fillId="0" borderId="29" xfId="53" applyFont="1" applyBorder="1" applyAlignment="1">
      <alignment horizontal="left"/>
    </xf>
    <xf numFmtId="0" fontId="10" fillId="0" borderId="38" xfId="53" applyBorder="1" applyAlignment="1">
      <alignment horizontal="right"/>
    </xf>
    <xf numFmtId="0" fontId="13" fillId="37" borderId="23" xfId="53" applyFont="1" applyFill="1" applyBorder="1" applyProtection="1">
      <protection locked="0"/>
    </xf>
    <xf numFmtId="0" fontId="10" fillId="0" borderId="27" xfId="53" applyBorder="1" applyAlignment="1">
      <alignment horizontal="left"/>
    </xf>
    <xf numFmtId="0" fontId="10" fillId="0" borderId="0" xfId="53" applyAlignment="1">
      <alignment horizontal="left"/>
    </xf>
    <xf numFmtId="0" fontId="73" fillId="0" borderId="0" xfId="53" applyFont="1" applyAlignment="1">
      <alignment horizontal="left"/>
    </xf>
    <xf numFmtId="0" fontId="10" fillId="0" borderId="30" xfId="53" applyBorder="1" applyAlignment="1">
      <alignment horizontal="left"/>
    </xf>
    <xf numFmtId="164" fontId="13" fillId="32" borderId="35" xfId="53" applyNumberFormat="1" applyFont="1" applyFill="1" applyBorder="1" applyAlignment="1">
      <alignment horizontal="left" wrapText="1"/>
    </xf>
    <xf numFmtId="0" fontId="13" fillId="32" borderId="96" xfId="53" applyFont="1" applyFill="1" applyBorder="1" applyAlignment="1">
      <alignment horizontal="left"/>
    </xf>
    <xf numFmtId="0" fontId="13" fillId="32" borderId="36" xfId="53" applyFont="1" applyFill="1" applyBorder="1" applyAlignment="1">
      <alignment wrapText="1"/>
    </xf>
    <xf numFmtId="0" fontId="13" fillId="37" borderId="23" xfId="53" applyFont="1" applyFill="1" applyBorder="1" applyAlignment="1" applyProtection="1">
      <alignment horizontal="left"/>
      <protection locked="0"/>
    </xf>
    <xf numFmtId="0" fontId="76" fillId="0" borderId="45" xfId="53" applyFont="1" applyBorder="1" applyAlignment="1">
      <alignment horizontal="right" wrapText="1"/>
    </xf>
    <xf numFmtId="0" fontId="0" fillId="30" borderId="45" xfId="0" applyFill="1" applyBorder="1"/>
    <xf numFmtId="0" fontId="25" fillId="0" borderId="87" xfId="53" applyFont="1" applyBorder="1" applyAlignment="1">
      <alignment wrapText="1"/>
    </xf>
    <xf numFmtId="0" fontId="77" fillId="0" borderId="0" xfId="53" applyFont="1" applyAlignment="1">
      <alignment wrapText="1"/>
    </xf>
    <xf numFmtId="0" fontId="25" fillId="39" borderId="0" xfId="53" applyFont="1" applyFill="1" applyAlignment="1">
      <alignment wrapText="1"/>
    </xf>
    <xf numFmtId="173" fontId="25" fillId="39" borderId="0" xfId="53" applyNumberFormat="1" applyFont="1" applyFill="1"/>
    <xf numFmtId="174" fontId="10" fillId="30" borderId="23" xfId="53" applyNumberFormat="1" applyFill="1" applyBorder="1"/>
    <xf numFmtId="174" fontId="25" fillId="30" borderId="23" xfId="53" applyNumberFormat="1" applyFont="1" applyFill="1" applyBorder="1"/>
    <xf numFmtId="1" fontId="25" fillId="30" borderId="23" xfId="53" applyNumberFormat="1" applyFont="1" applyFill="1" applyBorder="1"/>
    <xf numFmtId="169" fontId="25" fillId="30" borderId="23" xfId="41" applyNumberFormat="1" applyFont="1" applyFill="1" applyBorder="1"/>
    <xf numFmtId="169" fontId="10" fillId="31" borderId="0" xfId="41" applyNumberFormat="1" applyFill="1" applyAlignment="1">
      <alignment horizontal="right"/>
    </xf>
    <xf numFmtId="0" fontId="13" fillId="31" borderId="0" xfId="53" applyFont="1" applyFill="1" applyAlignment="1">
      <alignment horizontal="left"/>
    </xf>
    <xf numFmtId="0" fontId="25" fillId="29" borderId="30" xfId="53" applyFont="1" applyFill="1" applyBorder="1" applyAlignment="1">
      <alignment wrapText="1"/>
    </xf>
    <xf numFmtId="0" fontId="25" fillId="0" borderId="67" xfId="53" applyFont="1" applyBorder="1" applyAlignment="1">
      <alignment wrapText="1"/>
    </xf>
    <xf numFmtId="0" fontId="25" fillId="0" borderId="69" xfId="53" applyFont="1" applyBorder="1" applyAlignment="1">
      <alignment wrapText="1"/>
    </xf>
    <xf numFmtId="0" fontId="24" fillId="0" borderId="69" xfId="53" applyFont="1" applyBorder="1" applyAlignment="1">
      <alignment wrapText="1"/>
    </xf>
    <xf numFmtId="0" fontId="25" fillId="0" borderId="69" xfId="0" applyFont="1" applyBorder="1" applyAlignment="1">
      <alignment wrapText="1"/>
    </xf>
    <xf numFmtId="0" fontId="61" fillId="0" borderId="71" xfId="0" applyFont="1" applyBorder="1" applyAlignment="1">
      <alignment horizontal="left" wrapText="1"/>
    </xf>
    <xf numFmtId="0" fontId="24" fillId="0" borderId="67" xfId="53" applyFont="1" applyBorder="1" applyAlignment="1">
      <alignment wrapText="1"/>
    </xf>
    <xf numFmtId="169" fontId="13" fillId="30" borderId="59" xfId="53" applyNumberFormat="1" applyFont="1" applyFill="1" applyBorder="1"/>
    <xf numFmtId="171" fontId="13" fillId="30" borderId="70" xfId="47" applyNumberFormat="1" applyFont="1" applyFill="1" applyBorder="1"/>
    <xf numFmtId="0" fontId="0" fillId="0" borderId="69" xfId="0" applyBorder="1"/>
    <xf numFmtId="0" fontId="0" fillId="0" borderId="70" xfId="0" applyBorder="1"/>
    <xf numFmtId="169" fontId="13" fillId="30" borderId="70" xfId="53" applyNumberFormat="1" applyFont="1" applyFill="1" applyBorder="1"/>
    <xf numFmtId="0" fontId="24" fillId="0" borderId="71" xfId="53" applyFont="1" applyBorder="1" applyAlignment="1">
      <alignment wrapText="1"/>
    </xf>
    <xf numFmtId="171" fontId="13" fillId="30" borderId="72" xfId="47" applyNumberFormat="1" applyFont="1" applyFill="1" applyBorder="1"/>
    <xf numFmtId="0" fontId="24" fillId="0" borderId="23" xfId="53" applyFont="1" applyBorder="1" applyAlignment="1">
      <alignment wrapText="1"/>
    </xf>
    <xf numFmtId="0" fontId="24" fillId="0" borderId="23" xfId="0" applyFont="1" applyBorder="1" applyAlignment="1">
      <alignment wrapText="1"/>
    </xf>
    <xf numFmtId="1" fontId="10" fillId="30" borderId="23" xfId="53" applyNumberFormat="1" applyFill="1" applyBorder="1"/>
    <xf numFmtId="1" fontId="10" fillId="30" borderId="23" xfId="41" applyNumberFormat="1" applyFill="1" applyBorder="1"/>
    <xf numFmtId="0" fontId="0" fillId="47" borderId="0" xfId="0" applyFill="1"/>
    <xf numFmtId="0" fontId="52" fillId="47" borderId="0" xfId="0" applyFont="1" applyFill="1"/>
    <xf numFmtId="0" fontId="25" fillId="0" borderId="101" xfId="53" applyFont="1" applyBorder="1" applyAlignment="1">
      <alignment horizontal="center" vertical="center" wrapText="1"/>
    </xf>
    <xf numFmtId="0" fontId="24" fillId="0" borderId="85" xfId="53" applyFont="1" applyBorder="1" applyAlignment="1">
      <alignment horizontal="center" vertical="center" wrapText="1"/>
    </xf>
    <xf numFmtId="0" fontId="13" fillId="0" borderId="85" xfId="53" applyFont="1" applyBorder="1" applyAlignment="1">
      <alignment horizontal="center" vertical="center" wrapText="1"/>
    </xf>
    <xf numFmtId="0" fontId="13" fillId="0" borderId="86" xfId="53" applyFont="1" applyBorder="1" applyAlignment="1">
      <alignment horizontal="center" vertical="center" wrapText="1"/>
    </xf>
    <xf numFmtId="168" fontId="10" fillId="35" borderId="106" xfId="41" applyNumberFormat="1" applyFill="1" applyBorder="1" applyAlignment="1" applyProtection="1">
      <alignment horizontal="right"/>
      <protection locked="0"/>
    </xf>
    <xf numFmtId="168" fontId="10" fillId="48" borderId="10" xfId="41" applyNumberFormat="1" applyFill="1" applyBorder="1" applyAlignment="1" applyProtection="1">
      <alignment horizontal="right"/>
      <protection locked="0"/>
    </xf>
    <xf numFmtId="169" fontId="10" fillId="48" borderId="10" xfId="41" applyNumberFormat="1" applyFill="1" applyBorder="1" applyAlignment="1" applyProtection="1">
      <alignment horizontal="right"/>
      <protection locked="0"/>
    </xf>
    <xf numFmtId="168" fontId="10" fillId="35" borderId="17" xfId="41" applyNumberFormat="1" applyFill="1" applyBorder="1" applyAlignment="1" applyProtection="1">
      <alignment horizontal="left"/>
      <protection locked="0"/>
    </xf>
    <xf numFmtId="168" fontId="10" fillId="48" borderId="23" xfId="41" applyNumberFormat="1" applyFill="1" applyBorder="1" applyAlignment="1" applyProtection="1">
      <alignment horizontal="right"/>
      <protection locked="0"/>
    </xf>
    <xf numFmtId="169" fontId="10" fillId="48" borderId="23" xfId="41" applyNumberFormat="1" applyFill="1" applyBorder="1" applyAlignment="1" applyProtection="1">
      <alignment horizontal="right"/>
      <protection locked="0"/>
    </xf>
    <xf numFmtId="168" fontId="10" fillId="48" borderId="37" xfId="41" applyNumberFormat="1" applyFill="1" applyBorder="1" applyAlignment="1" applyProtection="1">
      <alignment horizontal="right"/>
      <protection locked="0"/>
    </xf>
    <xf numFmtId="169" fontId="10" fillId="48" borderId="37" xfId="41" applyNumberFormat="1" applyFill="1" applyBorder="1" applyAlignment="1" applyProtection="1">
      <alignment horizontal="right"/>
      <protection locked="0"/>
    </xf>
    <xf numFmtId="0" fontId="10" fillId="0" borderId="60" xfId="53" applyBorder="1"/>
    <xf numFmtId="0" fontId="25" fillId="29" borderId="101" xfId="53" applyFont="1" applyFill="1" applyBorder="1" applyAlignment="1">
      <alignment wrapText="1"/>
    </xf>
    <xf numFmtId="168" fontId="25" fillId="28" borderId="77" xfId="41" applyNumberFormat="1" applyFont="1" applyFill="1" applyBorder="1" applyAlignment="1">
      <alignment horizontal="right"/>
    </xf>
    <xf numFmtId="168" fontId="25" fillId="28" borderId="78" xfId="41" applyNumberFormat="1" applyFont="1" applyFill="1" applyBorder="1" applyAlignment="1">
      <alignment horizontal="right"/>
    </xf>
    <xf numFmtId="169" fontId="25" fillId="28" borderId="78" xfId="41" applyNumberFormat="1" applyFont="1" applyFill="1" applyBorder="1" applyAlignment="1">
      <alignment horizontal="right"/>
    </xf>
    <xf numFmtId="169" fontId="25" fillId="28" borderId="79" xfId="41" applyNumberFormat="1" applyFont="1" applyFill="1" applyBorder="1" applyAlignment="1">
      <alignment horizontal="right"/>
    </xf>
    <xf numFmtId="0" fontId="25" fillId="29" borderId="80" xfId="53" applyFont="1" applyFill="1" applyBorder="1" applyAlignment="1">
      <alignment wrapText="1"/>
    </xf>
    <xf numFmtId="169" fontId="10" fillId="48" borderId="12" xfId="41" applyNumberFormat="1" applyFill="1" applyBorder="1" applyAlignment="1" applyProtection="1">
      <alignment horizontal="right"/>
      <protection locked="0"/>
    </xf>
    <xf numFmtId="168" fontId="10" fillId="48" borderId="11" xfId="41" applyNumberFormat="1" applyFill="1" applyBorder="1" applyAlignment="1" applyProtection="1">
      <alignment horizontal="right"/>
      <protection locked="0"/>
    </xf>
    <xf numFmtId="169" fontId="10" fillId="48" borderId="11" xfId="41" applyNumberFormat="1" applyFill="1" applyBorder="1" applyAlignment="1" applyProtection="1">
      <alignment horizontal="right"/>
      <protection locked="0"/>
    </xf>
    <xf numFmtId="169" fontId="10" fillId="48" borderId="46" xfId="41" applyNumberFormat="1" applyFill="1" applyBorder="1" applyAlignment="1" applyProtection="1">
      <alignment horizontal="right"/>
      <protection locked="0"/>
    </xf>
    <xf numFmtId="0" fontId="24" fillId="28" borderId="105" xfId="53" applyFont="1" applyFill="1" applyBorder="1" applyAlignment="1">
      <alignment horizontal="left"/>
    </xf>
    <xf numFmtId="0" fontId="11" fillId="30" borderId="60" xfId="53" applyFont="1" applyFill="1" applyBorder="1" applyAlignment="1">
      <alignment horizontal="center" vertical="center" textRotation="90" wrapText="1"/>
    </xf>
    <xf numFmtId="168" fontId="25" fillId="28" borderId="48" xfId="41" applyNumberFormat="1" applyFont="1" applyFill="1" applyBorder="1" applyAlignment="1">
      <alignment horizontal="right"/>
    </xf>
    <xf numFmtId="169" fontId="25" fillId="28" borderId="49" xfId="41" applyNumberFormat="1" applyFont="1" applyFill="1" applyBorder="1" applyAlignment="1">
      <alignment horizontal="right"/>
    </xf>
    <xf numFmtId="169" fontId="25" fillId="28" borderId="50" xfId="41" applyNumberFormat="1" applyFont="1" applyFill="1" applyBorder="1" applyAlignment="1">
      <alignment horizontal="right"/>
    </xf>
    <xf numFmtId="0" fontId="24" fillId="28" borderId="107" xfId="53" applyFont="1" applyFill="1" applyBorder="1" applyAlignment="1">
      <alignment horizontal="left"/>
    </xf>
    <xf numFmtId="169" fontId="25" fillId="28" borderId="48" xfId="41" applyNumberFormat="1" applyFont="1" applyFill="1" applyBorder="1" applyAlignment="1">
      <alignment horizontal="right"/>
    </xf>
    <xf numFmtId="169" fontId="10" fillId="28" borderId="49" xfId="41" applyNumberFormat="1" applyFill="1" applyBorder="1" applyAlignment="1">
      <alignment horizontal="right"/>
    </xf>
    <xf numFmtId="169" fontId="10" fillId="28" borderId="50" xfId="41" applyNumberFormat="1" applyFill="1" applyBorder="1" applyAlignment="1">
      <alignment horizontal="right"/>
    </xf>
    <xf numFmtId="169" fontId="10" fillId="28" borderId="51" xfId="41" applyNumberFormat="1" applyFill="1" applyBorder="1" applyAlignment="1">
      <alignment horizontal="right"/>
    </xf>
    <xf numFmtId="0" fontId="13" fillId="31" borderId="23" xfId="53" applyFont="1" applyFill="1" applyBorder="1" applyAlignment="1">
      <alignment horizontal="left" wrapText="1"/>
    </xf>
    <xf numFmtId="9" fontId="10" fillId="39" borderId="23" xfId="53" applyNumberFormat="1" applyFill="1" applyBorder="1"/>
    <xf numFmtId="9" fontId="10" fillId="34" borderId="23" xfId="53" applyNumberFormat="1" applyFill="1" applyBorder="1" applyProtection="1">
      <protection locked="0"/>
    </xf>
    <xf numFmtId="173" fontId="10" fillId="30" borderId="23" xfId="53" applyNumberFormat="1" applyFill="1" applyBorder="1"/>
    <xf numFmtId="0" fontId="10" fillId="0" borderId="23" xfId="53" applyBorder="1"/>
    <xf numFmtId="168" fontId="25" fillId="46" borderId="23" xfId="41" applyNumberFormat="1" applyFont="1" applyFill="1" applyBorder="1" applyAlignment="1">
      <alignment horizontal="right"/>
    </xf>
    <xf numFmtId="169" fontId="25" fillId="46" borderId="23" xfId="41" applyNumberFormat="1" applyFont="1" applyFill="1" applyBorder="1" applyAlignment="1">
      <alignment horizontal="right"/>
    </xf>
    <xf numFmtId="0" fontId="24" fillId="46" borderId="23" xfId="53" applyFont="1" applyFill="1" applyBorder="1" applyAlignment="1">
      <alignment horizontal="left"/>
    </xf>
    <xf numFmtId="0" fontId="24" fillId="46" borderId="23" xfId="53" applyFont="1" applyFill="1" applyBorder="1" applyAlignment="1">
      <alignment horizontal="left" wrapText="1"/>
    </xf>
    <xf numFmtId="0" fontId="0" fillId="47" borderId="23" xfId="0" applyFill="1" applyBorder="1"/>
    <xf numFmtId="9" fontId="10" fillId="47" borderId="23" xfId="53" applyNumberFormat="1" applyFill="1" applyBorder="1"/>
    <xf numFmtId="173" fontId="10" fillId="47" borderId="23" xfId="53" applyNumberFormat="1" applyFill="1" applyBorder="1"/>
    <xf numFmtId="168" fontId="67" fillId="31" borderId="23" xfId="41" applyNumberFormat="1" applyFont="1" applyFill="1" applyBorder="1" applyAlignment="1">
      <alignment horizontal="center" vertical="center"/>
    </xf>
    <xf numFmtId="169" fontId="25" fillId="31" borderId="23" xfId="41" applyNumberFormat="1" applyFont="1" applyFill="1" applyBorder="1" applyAlignment="1">
      <alignment horizontal="right"/>
    </xf>
    <xf numFmtId="173" fontId="10" fillId="29" borderId="23" xfId="53" applyNumberFormat="1" applyFill="1" applyBorder="1"/>
    <xf numFmtId="169" fontId="25" fillId="30" borderId="23" xfId="41" applyNumberFormat="1" applyFont="1" applyFill="1" applyBorder="1" applyAlignment="1">
      <alignment horizontal="left"/>
    </xf>
    <xf numFmtId="0" fontId="25" fillId="29" borderId="23" xfId="53" applyFont="1" applyFill="1" applyBorder="1" applyAlignment="1">
      <alignment horizontal="center" vertical="center" wrapText="1"/>
    </xf>
    <xf numFmtId="168" fontId="25" fillId="46" borderId="23" xfId="41" applyNumberFormat="1" applyFont="1" applyFill="1" applyBorder="1" applyAlignment="1">
      <alignment horizontal="center" vertical="center"/>
    </xf>
    <xf numFmtId="169" fontId="25" fillId="46" borderId="23" xfId="41" applyNumberFormat="1" applyFont="1" applyFill="1" applyBorder="1" applyAlignment="1">
      <alignment horizontal="center" vertical="center"/>
    </xf>
    <xf numFmtId="0" fontId="24" fillId="46" borderId="23" xfId="53" applyFont="1" applyFill="1" applyBorder="1" applyAlignment="1">
      <alignment horizontal="center" vertical="center"/>
    </xf>
    <xf numFmtId="0" fontId="24" fillId="46" borderId="23" xfId="53" applyFont="1" applyFill="1" applyBorder="1" applyAlignment="1">
      <alignment horizontal="center" vertical="center" wrapText="1"/>
    </xf>
    <xf numFmtId="0" fontId="0" fillId="47" borderId="23" xfId="0" applyFill="1" applyBorder="1" applyAlignment="1">
      <alignment horizontal="center" vertical="center"/>
    </xf>
    <xf numFmtId="9" fontId="10" fillId="47" borderId="23" xfId="53" applyNumberFormat="1" applyFill="1" applyBorder="1" applyAlignment="1">
      <alignment horizontal="center" vertical="center"/>
    </xf>
    <xf numFmtId="173" fontId="10" fillId="47" borderId="23" xfId="53" applyNumberFormat="1" applyFill="1" applyBorder="1" applyAlignment="1">
      <alignment horizontal="center" vertical="center"/>
    </xf>
    <xf numFmtId="0" fontId="10" fillId="47" borderId="23" xfId="53" applyFill="1" applyBorder="1" applyAlignment="1">
      <alignment horizontal="center" vertical="center"/>
    </xf>
    <xf numFmtId="168" fontId="10" fillId="31" borderId="23" xfId="41" applyNumberFormat="1" applyFill="1" applyBorder="1" applyAlignment="1">
      <alignment horizontal="center" vertical="center"/>
    </xf>
    <xf numFmtId="0" fontId="13" fillId="31" borderId="23" xfId="53" applyFont="1" applyFill="1" applyBorder="1" applyAlignment="1">
      <alignment horizontal="center" vertical="center"/>
    </xf>
    <xf numFmtId="169" fontId="10" fillId="31" borderId="23" xfId="41" applyNumberFormat="1" applyFill="1" applyBorder="1" applyAlignment="1">
      <alignment horizontal="center" vertical="center"/>
    </xf>
    <xf numFmtId="169" fontId="10" fillId="35" borderId="23" xfId="41" applyNumberFormat="1" applyFill="1" applyBorder="1" applyAlignment="1" applyProtection="1">
      <alignment horizontal="center" vertical="center"/>
      <protection locked="0"/>
    </xf>
    <xf numFmtId="0" fontId="13" fillId="31" borderId="23" xfId="53" applyFont="1" applyFill="1" applyBorder="1" applyAlignment="1">
      <alignment horizontal="center" vertical="center" wrapText="1"/>
    </xf>
    <xf numFmtId="0" fontId="0" fillId="0" borderId="23" xfId="0" applyBorder="1" applyAlignment="1">
      <alignment horizontal="center" vertical="center"/>
    </xf>
    <xf numFmtId="9" fontId="10" fillId="39" borderId="23" xfId="53" applyNumberFormat="1" applyFill="1" applyBorder="1" applyAlignment="1">
      <alignment horizontal="center" vertical="center"/>
    </xf>
    <xf numFmtId="9" fontId="10" fillId="34" borderId="23" xfId="53" applyNumberFormat="1" applyFill="1" applyBorder="1" applyAlignment="1" applyProtection="1">
      <alignment horizontal="center" vertical="center"/>
      <protection locked="0"/>
    </xf>
    <xf numFmtId="173" fontId="10" fillId="30" borderId="23" xfId="53" applyNumberFormat="1" applyFill="1" applyBorder="1" applyAlignment="1">
      <alignment horizontal="center" vertical="center"/>
    </xf>
    <xf numFmtId="169" fontId="10" fillId="30" borderId="23" xfId="41" applyNumberFormat="1" applyFill="1" applyBorder="1" applyAlignment="1">
      <alignment horizontal="center" vertical="center"/>
    </xf>
    <xf numFmtId="0" fontId="10" fillId="0" borderId="23" xfId="53" applyBorder="1" applyAlignment="1">
      <alignment horizontal="center" vertical="center"/>
    </xf>
    <xf numFmtId="169" fontId="25" fillId="31" borderId="23" xfId="41" applyNumberFormat="1" applyFont="1" applyFill="1" applyBorder="1" applyAlignment="1">
      <alignment horizontal="center" vertical="center"/>
    </xf>
    <xf numFmtId="173" fontId="10" fillId="29" borderId="23" xfId="53" applyNumberFormat="1" applyFill="1" applyBorder="1" applyAlignment="1">
      <alignment horizontal="center" vertical="center"/>
    </xf>
    <xf numFmtId="0" fontId="25" fillId="29" borderId="23" xfId="53" applyFont="1" applyFill="1" applyBorder="1" applyAlignment="1">
      <alignment horizontal="left" vertical="center" wrapText="1"/>
    </xf>
    <xf numFmtId="0" fontId="10" fillId="30" borderId="23" xfId="53" applyFill="1" applyBorder="1" applyAlignment="1">
      <alignment horizontal="left" vertical="center"/>
    </xf>
    <xf numFmtId="168" fontId="10" fillId="31" borderId="23" xfId="41" applyNumberFormat="1" applyFill="1" applyBorder="1" applyAlignment="1" applyProtection="1">
      <alignment horizontal="center" vertical="center"/>
      <protection locked="0"/>
    </xf>
    <xf numFmtId="0" fontId="13" fillId="31" borderId="23" xfId="53" applyFont="1" applyFill="1" applyBorder="1" applyAlignment="1" applyProtection="1">
      <alignment horizontal="center" vertical="center"/>
      <protection locked="0"/>
    </xf>
    <xf numFmtId="169" fontId="10" fillId="31" borderId="23" xfId="41" applyNumberFormat="1" applyFill="1" applyBorder="1" applyAlignment="1" applyProtection="1">
      <alignment horizontal="center" vertical="center"/>
      <protection locked="0"/>
    </xf>
    <xf numFmtId="0" fontId="13" fillId="31" borderId="23" xfId="53" applyFont="1" applyFill="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9" fontId="10" fillId="39" borderId="23" xfId="53" applyNumberFormat="1" applyFill="1" applyBorder="1" applyAlignment="1" applyProtection="1">
      <alignment horizontal="center" vertical="center"/>
      <protection locked="0"/>
    </xf>
    <xf numFmtId="173" fontId="10" fillId="30" borderId="23" xfId="53" applyNumberFormat="1" applyFill="1" applyBorder="1" applyAlignment="1" applyProtection="1">
      <alignment horizontal="center" vertical="center"/>
      <protection locked="0"/>
    </xf>
    <xf numFmtId="169" fontId="10" fillId="30" borderId="23" xfId="41" applyNumberFormat="1" applyFill="1" applyBorder="1" applyAlignment="1" applyProtection="1">
      <alignment horizontal="center" vertical="center"/>
      <protection locked="0"/>
    </xf>
    <xf numFmtId="0" fontId="10" fillId="0" borderId="23" xfId="53" applyBorder="1" applyAlignment="1" applyProtection="1">
      <alignment horizontal="center" vertical="center"/>
      <protection locked="0"/>
    </xf>
    <xf numFmtId="0" fontId="54" fillId="31" borderId="23" xfId="53" applyFont="1" applyFill="1" applyBorder="1" applyAlignment="1">
      <alignment horizontal="center" vertical="center"/>
    </xf>
    <xf numFmtId="0" fontId="54" fillId="46" borderId="23" xfId="53" applyFont="1" applyFill="1" applyBorder="1" applyAlignment="1">
      <alignment horizontal="center" vertical="center"/>
    </xf>
    <xf numFmtId="168" fontId="25" fillId="31" borderId="23" xfId="41" applyNumberFormat="1" applyFont="1" applyFill="1" applyBorder="1" applyAlignment="1">
      <alignment horizontal="right"/>
    </xf>
    <xf numFmtId="0" fontId="25" fillId="29" borderId="23" xfId="0" applyFont="1" applyFill="1" applyBorder="1" applyAlignment="1">
      <alignment wrapText="1"/>
    </xf>
    <xf numFmtId="176" fontId="0" fillId="39" borderId="23" xfId="0" applyNumberFormat="1" applyFill="1" applyBorder="1"/>
    <xf numFmtId="0" fontId="10" fillId="30" borderId="22" xfId="53" applyFill="1" applyBorder="1"/>
    <xf numFmtId="0" fontId="25" fillId="29" borderId="22" xfId="53" applyFont="1" applyFill="1" applyBorder="1" applyAlignment="1">
      <alignment wrapText="1"/>
    </xf>
    <xf numFmtId="2" fontId="25" fillId="29" borderId="22" xfId="53" applyNumberFormat="1" applyFont="1" applyFill="1" applyBorder="1" applyAlignment="1">
      <alignment wrapText="1"/>
    </xf>
    <xf numFmtId="2" fontId="25" fillId="29" borderId="23" xfId="53" applyNumberFormat="1" applyFont="1" applyFill="1" applyBorder="1" applyAlignment="1">
      <alignment wrapText="1"/>
    </xf>
    <xf numFmtId="0" fontId="11" fillId="0" borderId="23" xfId="53" applyFont="1" applyBorder="1" applyAlignment="1">
      <alignment wrapText="1"/>
    </xf>
    <xf numFmtId="0" fontId="67" fillId="0" borderId="23" xfId="53" applyFont="1" applyBorder="1" applyAlignment="1">
      <alignment horizontal="left"/>
    </xf>
    <xf numFmtId="0" fontId="67" fillId="32" borderId="23" xfId="53" applyFont="1" applyFill="1" applyBorder="1"/>
    <xf numFmtId="0" fontId="67" fillId="0" borderId="23" xfId="53" applyFont="1" applyBorder="1" applyAlignment="1">
      <alignment horizontal="left" wrapText="1"/>
    </xf>
    <xf numFmtId="164" fontId="67" fillId="0" borderId="23" xfId="53" applyNumberFormat="1" applyFont="1" applyBorder="1" applyAlignment="1">
      <alignment horizontal="left" wrapText="1"/>
    </xf>
    <xf numFmtId="164" fontId="67" fillId="25" borderId="23" xfId="53" applyNumberFormat="1" applyFont="1" applyFill="1" applyBorder="1" applyAlignment="1">
      <alignment horizontal="left" wrapText="1"/>
    </xf>
    <xf numFmtId="0" fontId="25" fillId="0" borderId="23" xfId="53" applyFont="1" applyBorder="1" applyAlignment="1">
      <alignment horizontal="left"/>
    </xf>
    <xf numFmtId="0" fontId="67" fillId="32" borderId="23" xfId="53" applyFont="1" applyFill="1" applyBorder="1" applyAlignment="1">
      <alignment wrapText="1"/>
    </xf>
    <xf numFmtId="0" fontId="25" fillId="33" borderId="23" xfId="53" applyFont="1" applyFill="1" applyBorder="1" applyAlignment="1">
      <alignment horizontal="center" vertical="center" wrapText="1"/>
    </xf>
    <xf numFmtId="0" fontId="25" fillId="33" borderId="23" xfId="53" applyFont="1" applyFill="1" applyBorder="1" applyAlignment="1">
      <alignment horizontal="center" vertical="center"/>
    </xf>
    <xf numFmtId="0" fontId="66" fillId="0" borderId="40" xfId="53" applyFont="1" applyBorder="1" applyAlignment="1">
      <alignment horizontal="center" vertical="center" textRotation="90"/>
    </xf>
    <xf numFmtId="0" fontId="67" fillId="24" borderId="23" xfId="53" applyFont="1" applyFill="1" applyBorder="1" applyAlignment="1">
      <alignment horizontal="left" wrapText="1"/>
    </xf>
    <xf numFmtId="0" fontId="67" fillId="0" borderId="23" xfId="53" applyFont="1" applyBorder="1" applyAlignment="1">
      <alignment horizontal="right"/>
    </xf>
    <xf numFmtId="0" fontId="67" fillId="0" borderId="23" xfId="0" applyFont="1" applyBorder="1"/>
    <xf numFmtId="0" fontId="81" fillId="32" borderId="23" xfId="53" applyFont="1" applyFill="1" applyBorder="1" applyAlignment="1">
      <alignment wrapText="1"/>
    </xf>
    <xf numFmtId="164" fontId="81" fillId="32" borderId="23" xfId="53" applyNumberFormat="1" applyFont="1" applyFill="1" applyBorder="1" applyAlignment="1">
      <alignment horizontal="left" wrapText="1"/>
    </xf>
    <xf numFmtId="0" fontId="51" fillId="0" borderId="90" xfId="53" applyFont="1" applyBorder="1"/>
    <xf numFmtId="0" fontId="51" fillId="0" borderId="100" xfId="53" applyFont="1" applyBorder="1"/>
    <xf numFmtId="0" fontId="51" fillId="0" borderId="23" xfId="53" applyFont="1" applyBorder="1"/>
    <xf numFmtId="0" fontId="83" fillId="0" borderId="27" xfId="53" applyFont="1" applyBorder="1"/>
    <xf numFmtId="0" fontId="83" fillId="0" borderId="28" xfId="53" applyFont="1" applyBorder="1"/>
    <xf numFmtId="0" fontId="52" fillId="0" borderId="40" xfId="53" applyFont="1" applyBorder="1"/>
    <xf numFmtId="0" fontId="83" fillId="0" borderId="29" xfId="53" applyFont="1" applyBorder="1"/>
    <xf numFmtId="0" fontId="83" fillId="35" borderId="10" xfId="53" applyFont="1" applyFill="1" applyBorder="1" applyAlignment="1" applyProtection="1">
      <alignment horizontal="left"/>
      <protection locked="0"/>
    </xf>
    <xf numFmtId="166" fontId="83" fillId="35" borderId="11" xfId="53" applyNumberFormat="1" applyFont="1" applyFill="1" applyBorder="1" applyAlignment="1" applyProtection="1">
      <alignment horizontal="left"/>
      <protection locked="0"/>
    </xf>
    <xf numFmtId="166" fontId="83" fillId="35" borderId="10" xfId="53" applyNumberFormat="1" applyFont="1" applyFill="1" applyBorder="1" applyAlignment="1" applyProtection="1">
      <alignment horizontal="left"/>
      <protection locked="0"/>
    </xf>
    <xf numFmtId="0" fontId="83" fillId="35" borderId="102" xfId="53" applyFont="1" applyFill="1" applyBorder="1" applyAlignment="1" applyProtection="1">
      <alignment horizontal="left"/>
      <protection locked="0"/>
    </xf>
    <xf numFmtId="0" fontId="83" fillId="35" borderId="17" xfId="53" applyFont="1" applyFill="1" applyBorder="1" applyAlignment="1" applyProtection="1">
      <alignment horizontal="left"/>
      <protection locked="0"/>
    </xf>
    <xf numFmtId="0" fontId="83" fillId="31" borderId="104" xfId="53" applyFont="1" applyFill="1" applyBorder="1" applyAlignment="1">
      <alignment horizontal="left"/>
    </xf>
    <xf numFmtId="0" fontId="83" fillId="0" borderId="29" xfId="53" applyFont="1" applyBorder="1" applyAlignment="1">
      <alignment horizontal="left"/>
    </xf>
    <xf numFmtId="0" fontId="52" fillId="0" borderId="41" xfId="53" applyFont="1" applyBorder="1"/>
    <xf numFmtId="0" fontId="83" fillId="0" borderId="30" xfId="53" applyFont="1" applyBorder="1"/>
    <xf numFmtId="0" fontId="52" fillId="0" borderId="30" xfId="53" applyFont="1" applyBorder="1" applyAlignment="1">
      <alignment wrapText="1"/>
    </xf>
    <xf numFmtId="0" fontId="83" fillId="0" borderId="31" xfId="53" applyFont="1" applyBorder="1"/>
    <xf numFmtId="0" fontId="10" fillId="0" borderId="0" xfId="53" applyAlignment="1">
      <alignment vertical="center"/>
    </xf>
    <xf numFmtId="0" fontId="10" fillId="0" borderId="29" xfId="53" applyBorder="1" applyAlignment="1">
      <alignment vertical="center"/>
    </xf>
    <xf numFmtId="0" fontId="83" fillId="30" borderId="105" xfId="53" applyFont="1" applyFill="1" applyBorder="1" applyAlignment="1">
      <alignment horizontal="center" vertical="center" wrapText="1"/>
    </xf>
    <xf numFmtId="0" fontId="0" fillId="49" borderId="99" xfId="0" applyFill="1" applyBorder="1" applyAlignment="1">
      <alignment horizontal="center"/>
    </xf>
    <xf numFmtId="0" fontId="0" fillId="49" borderId="84" xfId="0" applyFill="1" applyBorder="1" applyAlignment="1">
      <alignment horizontal="center"/>
    </xf>
    <xf numFmtId="0" fontId="0" fillId="49" borderId="96" xfId="0" applyFill="1" applyBorder="1" applyAlignment="1">
      <alignment horizontal="center"/>
    </xf>
    <xf numFmtId="173" fontId="10" fillId="47" borderId="20" xfId="53" applyNumberFormat="1" applyFill="1" applyBorder="1"/>
    <xf numFmtId="169" fontId="10" fillId="29" borderId="37" xfId="41" applyNumberFormat="1" applyFill="1" applyBorder="1" applyAlignment="1">
      <alignment horizontal="center" vertical="center"/>
    </xf>
    <xf numFmtId="0" fontId="24" fillId="29" borderId="37" xfId="53" applyFont="1" applyFill="1" applyBorder="1" applyAlignment="1">
      <alignment horizontal="center" vertical="center" wrapText="1"/>
    </xf>
    <xf numFmtId="169" fontId="25" fillId="30" borderId="37" xfId="41" applyNumberFormat="1" applyFont="1" applyFill="1" applyBorder="1" applyAlignment="1">
      <alignment horizontal="center" vertical="center"/>
    </xf>
    <xf numFmtId="169" fontId="10" fillId="30" borderId="110" xfId="41" applyNumberFormat="1" applyFill="1" applyBorder="1"/>
    <xf numFmtId="0" fontId="82" fillId="31" borderId="110" xfId="53" applyFont="1" applyFill="1" applyBorder="1" applyAlignment="1">
      <alignment horizontal="center" vertical="center"/>
    </xf>
    <xf numFmtId="0" fontId="10" fillId="0" borderId="110" xfId="53" applyBorder="1"/>
    <xf numFmtId="0" fontId="24" fillId="0" borderId="108" xfId="53" applyFont="1" applyBorder="1" applyAlignment="1">
      <alignment horizontal="center" vertical="center" wrapText="1"/>
    </xf>
    <xf numFmtId="0" fontId="24" fillId="0" borderId="105" xfId="53" applyFont="1" applyBorder="1" applyAlignment="1">
      <alignment horizontal="center" vertical="center" wrapText="1"/>
    </xf>
    <xf numFmtId="169" fontId="25" fillId="35" borderId="109" xfId="41" applyNumberFormat="1" applyFont="1" applyFill="1" applyBorder="1" applyAlignment="1" applyProtection="1">
      <alignment horizontal="center" vertical="center"/>
      <protection locked="0"/>
    </xf>
    <xf numFmtId="0" fontId="66" fillId="0" borderId="41" xfId="53" applyFont="1" applyBorder="1"/>
    <xf numFmtId="0" fontId="67" fillId="0" borderId="41" xfId="53" applyFont="1" applyBorder="1" applyAlignment="1">
      <alignment horizontal="left"/>
    </xf>
    <xf numFmtId="0" fontId="67" fillId="0" borderId="113" xfId="53" applyFont="1" applyBorder="1" applyAlignment="1">
      <alignment horizontal="right"/>
    </xf>
    <xf numFmtId="0" fontId="66" fillId="33" borderId="13" xfId="53" applyFont="1" applyFill="1" applyBorder="1" applyAlignment="1">
      <alignment horizontal="left"/>
    </xf>
    <xf numFmtId="0" fontId="67" fillId="0" borderId="49" xfId="53" applyFont="1" applyBorder="1" applyAlignment="1">
      <alignment horizontal="right"/>
    </xf>
    <xf numFmtId="0" fontId="66" fillId="32" borderId="13" xfId="53" applyFont="1" applyFill="1" applyBorder="1" applyAlignment="1">
      <alignment horizontal="left"/>
    </xf>
    <xf numFmtId="0" fontId="67" fillId="0" borderId="49" xfId="53" applyFont="1" applyBorder="1" applyAlignment="1">
      <alignment horizontal="left"/>
    </xf>
    <xf numFmtId="0" fontId="67" fillId="32" borderId="13" xfId="53" applyFont="1" applyFill="1" applyBorder="1" applyAlignment="1">
      <alignment horizontal="left"/>
    </xf>
    <xf numFmtId="0" fontId="67" fillId="32" borderId="18" xfId="53" applyFont="1" applyFill="1" applyBorder="1" applyAlignment="1">
      <alignment horizontal="left"/>
    </xf>
    <xf numFmtId="0" fontId="67" fillId="0" borderId="52" xfId="53" applyFont="1" applyBorder="1" applyAlignment="1">
      <alignment horizontal="left"/>
    </xf>
    <xf numFmtId="0" fontId="67" fillId="24" borderId="52" xfId="53" applyFont="1" applyFill="1" applyBorder="1" applyAlignment="1">
      <alignment horizontal="left" wrapText="1"/>
    </xf>
    <xf numFmtId="0" fontId="67" fillId="24" borderId="52" xfId="53" applyFont="1" applyFill="1" applyBorder="1" applyAlignment="1">
      <alignment horizontal="center"/>
    </xf>
    <xf numFmtId="0" fontId="67" fillId="30" borderId="52" xfId="53" applyFont="1" applyFill="1" applyBorder="1"/>
    <xf numFmtId="0" fontId="67" fillId="0" borderId="52" xfId="53" applyFont="1" applyBorder="1"/>
    <xf numFmtId="0" fontId="67" fillId="0" borderId="99" xfId="53" applyFont="1" applyBorder="1" applyAlignment="1">
      <alignment horizontal="left"/>
    </xf>
    <xf numFmtId="0" fontId="25" fillId="33" borderId="84" xfId="53" applyFont="1" applyFill="1" applyBorder="1" applyAlignment="1">
      <alignment horizontal="center" vertical="center" wrapText="1"/>
    </xf>
    <xf numFmtId="0" fontId="67" fillId="0" borderId="84" xfId="0" applyFont="1" applyBorder="1"/>
    <xf numFmtId="0" fontId="67" fillId="38" borderId="84" xfId="53" applyFont="1" applyFill="1" applyBorder="1" applyAlignment="1" applyProtection="1">
      <alignment wrapText="1"/>
      <protection locked="0"/>
    </xf>
    <xf numFmtId="0" fontId="67" fillId="0" borderId="45" xfId="53" applyFont="1" applyBorder="1" applyAlignment="1">
      <alignment horizontal="left" wrapText="1"/>
    </xf>
    <xf numFmtId="1" fontId="66" fillId="32" borderId="45" xfId="53" applyNumberFormat="1" applyFont="1" applyFill="1" applyBorder="1" applyAlignment="1">
      <alignment horizontal="center"/>
    </xf>
    <xf numFmtId="0" fontId="84" fillId="47" borderId="40" xfId="0" applyFont="1" applyFill="1" applyBorder="1"/>
    <xf numFmtId="0" fontId="84" fillId="47" borderId="0" xfId="0" applyFont="1" applyFill="1"/>
    <xf numFmtId="0" fontId="84" fillId="47" borderId="29" xfId="0" applyFont="1" applyFill="1" applyBorder="1"/>
    <xf numFmtId="0" fontId="10" fillId="0" borderId="65" xfId="53" applyBorder="1"/>
    <xf numFmtId="0" fontId="25" fillId="0" borderId="40" xfId="53" applyFont="1" applyBorder="1" applyAlignment="1">
      <alignment wrapText="1"/>
    </xf>
    <xf numFmtId="168" fontId="25" fillId="0" borderId="114" xfId="41" applyNumberFormat="1" applyFont="1" applyBorder="1" applyAlignment="1">
      <alignment horizontal="right"/>
    </xf>
    <xf numFmtId="168" fontId="25" fillId="0" borderId="24" xfId="41" applyNumberFormat="1" applyFont="1" applyBorder="1" applyAlignment="1">
      <alignment horizontal="right"/>
    </xf>
    <xf numFmtId="169" fontId="25" fillId="0" borderId="24" xfId="41" applyNumberFormat="1" applyFont="1" applyBorder="1" applyAlignment="1">
      <alignment horizontal="right"/>
    </xf>
    <xf numFmtId="0" fontId="24" fillId="0" borderId="24" xfId="53" applyFont="1" applyBorder="1" applyAlignment="1">
      <alignment horizontal="left"/>
    </xf>
    <xf numFmtId="169" fontId="25" fillId="0" borderId="57" xfId="41" applyNumberFormat="1" applyFont="1" applyBorder="1" applyAlignment="1">
      <alignment horizontal="right"/>
    </xf>
    <xf numFmtId="0" fontId="25" fillId="0" borderId="35" xfId="53" applyFont="1" applyBorder="1" applyAlignment="1">
      <alignment wrapText="1"/>
    </xf>
    <xf numFmtId="0" fontId="10" fillId="0" borderId="0" xfId="53" applyAlignment="1">
      <alignment vertical="top" wrapText="1"/>
    </xf>
    <xf numFmtId="0" fontId="10" fillId="35" borderId="110" xfId="53" quotePrefix="1" applyFill="1" applyBorder="1" applyAlignment="1" applyProtection="1">
      <alignment horizontal="left"/>
      <protection locked="0"/>
    </xf>
    <xf numFmtId="165" fontId="11" fillId="36" borderId="23" xfId="53" applyNumberFormat="1" applyFont="1" applyFill="1" applyBorder="1" applyAlignment="1" applyProtection="1">
      <alignment horizontal="left"/>
      <protection locked="0"/>
    </xf>
    <xf numFmtId="166" fontId="11" fillId="36" borderId="23" xfId="53" applyNumberFormat="1" applyFont="1" applyFill="1" applyBorder="1" applyAlignment="1" applyProtection="1">
      <alignment horizontal="center" wrapText="1"/>
      <protection locked="0"/>
    </xf>
    <xf numFmtId="0" fontId="11" fillId="30" borderId="84" xfId="53" applyFont="1" applyFill="1" applyBorder="1" applyAlignment="1">
      <alignment horizontal="left"/>
    </xf>
    <xf numFmtId="165" fontId="11" fillId="40" borderId="23" xfId="53" applyNumberFormat="1" applyFont="1" applyFill="1" applyBorder="1"/>
    <xf numFmtId="165" fontId="11" fillId="40" borderId="23" xfId="53" applyNumberFormat="1" applyFont="1" applyFill="1" applyBorder="1" applyAlignment="1">
      <alignment wrapText="1"/>
    </xf>
    <xf numFmtId="0" fontId="10" fillId="0" borderId="23" xfId="53" applyBorder="1" applyAlignment="1">
      <alignment horizontal="left" wrapText="1"/>
    </xf>
    <xf numFmtId="164" fontId="10" fillId="35" borderId="23" xfId="53" applyNumberFormat="1" applyFill="1" applyBorder="1" applyAlignment="1" applyProtection="1">
      <alignment horizontal="left" wrapText="1"/>
      <protection locked="0"/>
    </xf>
    <xf numFmtId="164" fontId="10" fillId="0" borderId="23" xfId="53" applyNumberFormat="1" applyBorder="1" applyAlignment="1">
      <alignment horizontal="left" wrapText="1"/>
    </xf>
    <xf numFmtId="164" fontId="10" fillId="35" borderId="84" xfId="53" applyNumberFormat="1" applyFill="1" applyBorder="1" applyAlignment="1" applyProtection="1">
      <alignment wrapText="1"/>
      <protection locked="0"/>
    </xf>
    <xf numFmtId="164" fontId="10" fillId="35" borderId="84" xfId="53" applyNumberFormat="1" applyFill="1" applyBorder="1" applyAlignment="1" applyProtection="1">
      <alignment horizontal="left" wrapText="1"/>
      <protection locked="0"/>
    </xf>
    <xf numFmtId="164" fontId="10" fillId="0" borderId="45" xfId="53" applyNumberFormat="1" applyBorder="1" applyAlignment="1">
      <alignment horizontal="left" wrapText="1"/>
    </xf>
    <xf numFmtId="0" fontId="52" fillId="0" borderId="85" xfId="53" applyFont="1" applyBorder="1" applyAlignment="1">
      <alignment horizontal="center" vertical="center" wrapText="1"/>
    </xf>
    <xf numFmtId="0" fontId="52" fillId="0" borderId="60" xfId="53" applyFont="1" applyBorder="1" applyAlignment="1">
      <alignment vertical="center"/>
    </xf>
    <xf numFmtId="0" fontId="83" fillId="0" borderId="85" xfId="53" applyFont="1" applyBorder="1" applyAlignment="1">
      <alignment vertical="center" wrapText="1"/>
    </xf>
    <xf numFmtId="166" fontId="83" fillId="35" borderId="102" xfId="53" applyNumberFormat="1" applyFont="1" applyFill="1" applyBorder="1" applyAlignment="1" applyProtection="1">
      <alignment horizontal="center" vertical="center" wrapText="1"/>
      <protection locked="0"/>
    </xf>
    <xf numFmtId="0" fontId="83" fillId="0" borderId="103" xfId="53" applyFont="1" applyBorder="1" applyAlignment="1">
      <alignment horizontal="right" indent="1"/>
    </xf>
    <xf numFmtId="0" fontId="83" fillId="0" borderId="0" xfId="53" applyFont="1"/>
    <xf numFmtId="0" fontId="52" fillId="0" borderId="0" xfId="53" applyFont="1" applyAlignment="1">
      <alignment horizontal="right" vertical="center" indent="1"/>
    </xf>
    <xf numFmtId="0" fontId="52" fillId="0" borderId="30" xfId="53" applyFont="1" applyBorder="1" applyAlignment="1">
      <alignment horizontal="right" vertical="center" indent="1"/>
    </xf>
    <xf numFmtId="1" fontId="83" fillId="35" borderId="102" xfId="53" applyNumberFormat="1" applyFont="1" applyFill="1" applyBorder="1" applyAlignment="1" applyProtection="1">
      <alignment horizontal="center" vertical="center" wrapText="1"/>
      <protection locked="0"/>
    </xf>
    <xf numFmtId="0" fontId="52" fillId="0" borderId="0" xfId="53" applyFont="1" applyAlignment="1">
      <alignment horizontal="center" vertical="center" wrapText="1"/>
    </xf>
    <xf numFmtId="0" fontId="29" fillId="0" borderId="0" xfId="0" applyFont="1" applyAlignment="1">
      <alignment horizontal="right"/>
    </xf>
    <xf numFmtId="1" fontId="13" fillId="35" borderId="23" xfId="53" applyNumberFormat="1" applyFont="1" applyFill="1" applyBorder="1" applyProtection="1">
      <protection locked="0"/>
    </xf>
    <xf numFmtId="164" fontId="13" fillId="35" borderId="24" xfId="53" applyNumberFormat="1" applyFont="1" applyFill="1" applyBorder="1" applyAlignment="1" applyProtection="1">
      <alignment horizontal="left" wrapText="1"/>
      <protection locked="0"/>
    </xf>
    <xf numFmtId="166" fontId="13" fillId="35" borderId="23" xfId="53" applyNumberFormat="1" applyFont="1" applyFill="1" applyBorder="1" applyAlignment="1" applyProtection="1">
      <alignment horizontal="left"/>
      <protection locked="0"/>
    </xf>
    <xf numFmtId="169" fontId="10" fillId="36" borderId="96" xfId="41" applyNumberFormat="1" applyFill="1" applyBorder="1" applyProtection="1">
      <protection locked="0"/>
    </xf>
    <xf numFmtId="0" fontId="83" fillId="35" borderId="120" xfId="53" applyFont="1" applyFill="1" applyBorder="1" applyAlignment="1" applyProtection="1">
      <alignment horizontal="center" vertical="center" wrapText="1"/>
      <protection locked="0"/>
    </xf>
    <xf numFmtId="43" fontId="24" fillId="34" borderId="0" xfId="0" applyNumberFormat="1" applyFont="1" applyFill="1"/>
    <xf numFmtId="43" fontId="10" fillId="34" borderId="0" xfId="75" applyNumberFormat="1" applyFill="1"/>
    <xf numFmtId="1" fontId="11" fillId="30" borderId="0" xfId="53" applyNumberFormat="1" applyFont="1" applyFill="1" applyAlignment="1">
      <alignment horizontal="center" vertical="center" wrapText="1"/>
    </xf>
    <xf numFmtId="0" fontId="0" fillId="47" borderId="0" xfId="0" applyFill="1" applyAlignment="1">
      <alignment horizontal="center"/>
    </xf>
    <xf numFmtId="0" fontId="0" fillId="47" borderId="0" xfId="0" applyFill="1" applyAlignment="1">
      <alignment horizontal="left"/>
    </xf>
    <xf numFmtId="0" fontId="0" fillId="47" borderId="0" xfId="0" applyFill="1" applyAlignment="1">
      <alignment horizontal="right"/>
    </xf>
    <xf numFmtId="0" fontId="54" fillId="47" borderId="0" xfId="0" applyFont="1" applyFill="1"/>
    <xf numFmtId="0" fontId="78" fillId="36" borderId="121" xfId="53" applyFont="1" applyFill="1" applyBorder="1" applyAlignment="1">
      <alignment wrapText="1"/>
    </xf>
    <xf numFmtId="0" fontId="78" fillId="36" borderId="97" xfId="53" applyFont="1" applyFill="1" applyBorder="1" applyAlignment="1">
      <alignment wrapText="1"/>
    </xf>
    <xf numFmtId="0" fontId="51" fillId="0" borderId="123" xfId="53" applyFont="1" applyBorder="1"/>
    <xf numFmtId="165" fontId="51" fillId="0" borderId="110" xfId="53" applyNumberFormat="1" applyFont="1" applyBorder="1" applyAlignment="1">
      <alignment wrapText="1"/>
    </xf>
    <xf numFmtId="0" fontId="10" fillId="35" borderId="38" xfId="53" applyFill="1" applyBorder="1" applyAlignment="1" applyProtection="1">
      <alignment horizontal="left" wrapText="1"/>
      <protection locked="0"/>
    </xf>
    <xf numFmtId="0" fontId="81" fillId="0" borderId="110" xfId="53" applyFont="1" applyBorder="1" applyAlignment="1">
      <alignment horizontal="center" wrapText="1"/>
    </xf>
    <xf numFmtId="0" fontId="10" fillId="35" borderId="54" xfId="53" applyFill="1" applyBorder="1" applyProtection="1">
      <protection locked="0"/>
    </xf>
    <xf numFmtId="0" fontId="78" fillId="36" borderId="124" xfId="53" applyFont="1" applyFill="1" applyBorder="1" applyAlignment="1">
      <alignment wrapText="1"/>
    </xf>
    <xf numFmtId="168" fontId="10" fillId="48" borderId="53" xfId="41" applyNumberFormat="1" applyFill="1" applyBorder="1" applyAlignment="1" applyProtection="1">
      <alignment horizontal="right"/>
      <protection locked="0"/>
    </xf>
    <xf numFmtId="169" fontId="10" fillId="48" borderId="53" xfId="41" applyNumberFormat="1" applyFill="1" applyBorder="1" applyAlignment="1" applyProtection="1">
      <alignment horizontal="right"/>
      <protection locked="0"/>
    </xf>
    <xf numFmtId="169" fontId="10" fillId="48" borderId="125" xfId="41" applyNumberFormat="1" applyFill="1" applyBorder="1" applyAlignment="1" applyProtection="1">
      <alignment horizontal="right"/>
      <protection locked="0"/>
    </xf>
    <xf numFmtId="168" fontId="10" fillId="35" borderId="104" xfId="41" applyNumberFormat="1" applyFill="1" applyBorder="1" applyAlignment="1" applyProtection="1">
      <alignment horizontal="left"/>
      <protection locked="0"/>
    </xf>
    <xf numFmtId="0" fontId="61" fillId="0" borderId="0" xfId="0" applyFont="1"/>
    <xf numFmtId="0" fontId="87" fillId="0" borderId="0" xfId="0" applyFont="1"/>
    <xf numFmtId="0" fontId="88" fillId="0" borderId="0" xfId="0" applyFont="1"/>
    <xf numFmtId="0" fontId="88" fillId="0" borderId="69" xfId="0" applyFont="1" applyBorder="1"/>
    <xf numFmtId="0" fontId="88" fillId="0" borderId="70" xfId="0" applyFont="1" applyBorder="1"/>
    <xf numFmtId="0" fontId="88" fillId="0" borderId="71" xfId="0" applyFont="1" applyBorder="1"/>
    <xf numFmtId="0" fontId="88" fillId="0" borderId="63" xfId="0" applyFont="1" applyBorder="1"/>
    <xf numFmtId="0" fontId="88" fillId="0" borderId="72" xfId="0" applyFont="1" applyBorder="1"/>
    <xf numFmtId="0" fontId="61" fillId="0" borderId="69" xfId="0" applyFont="1" applyBorder="1"/>
    <xf numFmtId="0" fontId="61" fillId="0" borderId="70" xfId="0" applyFont="1" applyBorder="1"/>
    <xf numFmtId="0" fontId="13" fillId="35" borderId="46" xfId="53" applyFont="1" applyFill="1" applyBorder="1" applyAlignment="1" applyProtection="1">
      <alignment horizontal="left" wrapText="1"/>
      <protection locked="0"/>
    </xf>
    <xf numFmtId="168" fontId="10" fillId="35" borderId="90" xfId="41" applyNumberFormat="1" applyFill="1" applyBorder="1" applyAlignment="1" applyProtection="1">
      <alignment horizontal="right"/>
      <protection locked="0"/>
    </xf>
    <xf numFmtId="0" fontId="13" fillId="35" borderId="20" xfId="53" applyFont="1" applyFill="1" applyBorder="1" applyAlignment="1" applyProtection="1">
      <alignment horizontal="left" wrapText="1"/>
      <protection locked="0"/>
    </xf>
    <xf numFmtId="0" fontId="13" fillId="35" borderId="21" xfId="53" applyFont="1" applyFill="1" applyBorder="1" applyAlignment="1" applyProtection="1">
      <alignment horizontal="left"/>
      <protection locked="0"/>
    </xf>
    <xf numFmtId="0" fontId="13" fillId="35" borderId="122" xfId="53" applyFont="1" applyFill="1" applyBorder="1" applyAlignment="1" applyProtection="1">
      <alignment horizontal="left"/>
      <protection locked="0"/>
    </xf>
    <xf numFmtId="0" fontId="10" fillId="35" borderId="101" xfId="53" applyFill="1" applyBorder="1" applyAlignment="1" applyProtection="1">
      <alignment horizontal="left" wrapText="1"/>
      <protection locked="0"/>
    </xf>
    <xf numFmtId="0" fontId="10" fillId="35" borderId="85" xfId="53" applyFill="1" applyBorder="1" applyAlignment="1" applyProtection="1">
      <alignment horizontal="left" wrapText="1"/>
      <protection locked="0"/>
    </xf>
    <xf numFmtId="0" fontId="10" fillId="35" borderId="86" xfId="53" applyFill="1" applyBorder="1" applyAlignment="1" applyProtection="1">
      <alignment horizontal="left" wrapText="1"/>
      <protection locked="0"/>
    </xf>
    <xf numFmtId="0" fontId="85" fillId="0" borderId="0" xfId="53" applyFont="1" applyAlignment="1">
      <alignment horizontal="left" vertical="top" wrapText="1"/>
    </xf>
    <xf numFmtId="0" fontId="11" fillId="0" borderId="0" xfId="53" applyFont="1" applyAlignment="1">
      <alignment horizontal="left" wrapText="1"/>
    </xf>
    <xf numFmtId="164" fontId="10" fillId="30" borderId="64" xfId="53" applyNumberFormat="1" applyFill="1" applyBorder="1" applyAlignment="1">
      <alignment horizontal="left"/>
    </xf>
    <xf numFmtId="0" fontId="52" fillId="0" borderId="85" xfId="53" applyFont="1" applyBorder="1" applyAlignment="1">
      <alignment horizontal="center" vertical="center" wrapText="1"/>
    </xf>
    <xf numFmtId="0" fontId="52" fillId="0" borderId="115" xfId="53" applyFont="1" applyBorder="1" applyAlignment="1">
      <alignment horizontal="center" vertical="center" wrapText="1"/>
    </xf>
    <xf numFmtId="0" fontId="52" fillId="0" borderId="57" xfId="53" applyFont="1" applyBorder="1" applyAlignment="1">
      <alignment horizontal="right" vertical="center" indent="1"/>
    </xf>
    <xf numFmtId="0" fontId="52" fillId="0" borderId="66" xfId="53" applyFont="1" applyBorder="1" applyAlignment="1">
      <alignment horizontal="right" vertical="center" indent="1"/>
    </xf>
    <xf numFmtId="0" fontId="25" fillId="29" borderId="101" xfId="53" applyFont="1" applyFill="1" applyBorder="1" applyAlignment="1">
      <alignment horizontal="center" vertical="center" wrapText="1"/>
    </xf>
    <xf numFmtId="0" fontId="25" fillId="29" borderId="85" xfId="53" applyFont="1" applyFill="1" applyBorder="1" applyAlignment="1">
      <alignment horizontal="center" vertical="center" wrapText="1"/>
    </xf>
    <xf numFmtId="0" fontId="25" fillId="29" borderId="86" xfId="53" applyFont="1" applyFill="1" applyBorder="1" applyAlignment="1">
      <alignment horizontal="center" vertical="center" wrapText="1"/>
    </xf>
    <xf numFmtId="0" fontId="11" fillId="35" borderId="20" xfId="53" applyFont="1" applyFill="1" applyBorder="1" applyAlignment="1" applyProtection="1">
      <alignment horizontal="left"/>
      <protection locked="0"/>
    </xf>
    <xf numFmtId="0" fontId="11" fillId="35" borderId="21" xfId="53" applyFont="1" applyFill="1" applyBorder="1" applyAlignment="1" applyProtection="1">
      <alignment horizontal="left"/>
      <protection locked="0"/>
    </xf>
    <xf numFmtId="0" fontId="11" fillId="35" borderId="122" xfId="53" applyFont="1" applyFill="1" applyBorder="1" applyAlignment="1" applyProtection="1">
      <alignment horizontal="left"/>
      <protection locked="0"/>
    </xf>
    <xf numFmtId="0" fontId="52" fillId="0" borderId="115" xfId="53" applyFont="1" applyBorder="1" applyAlignment="1">
      <alignment horizontal="left" vertical="center" wrapText="1"/>
    </xf>
    <xf numFmtId="0" fontId="52" fillId="0" borderId="105" xfId="53" applyFont="1" applyBorder="1" applyAlignment="1">
      <alignment horizontal="left" vertical="center" wrapText="1"/>
    </xf>
    <xf numFmtId="0" fontId="10" fillId="35" borderId="23" xfId="53" applyFill="1" applyBorder="1" applyAlignment="1" applyProtection="1">
      <alignment horizontal="left"/>
      <protection locked="0"/>
    </xf>
    <xf numFmtId="0" fontId="10" fillId="35" borderId="84" xfId="53" applyFill="1" applyBorder="1" applyAlignment="1" applyProtection="1">
      <alignment horizontal="left"/>
      <protection locked="0"/>
    </xf>
    <xf numFmtId="164" fontId="10" fillId="30" borderId="81" xfId="53" applyNumberFormat="1" applyFill="1" applyBorder="1" applyAlignment="1">
      <alignment horizontal="left"/>
    </xf>
    <xf numFmtId="164" fontId="10" fillId="30" borderId="82" xfId="53" applyNumberFormat="1" applyFill="1" applyBorder="1" applyAlignment="1">
      <alignment horizontal="left"/>
    </xf>
    <xf numFmtId="164" fontId="10" fillId="30" borderId="83" xfId="53" applyNumberFormat="1" applyFill="1" applyBorder="1" applyAlignment="1">
      <alignment horizontal="left"/>
    </xf>
    <xf numFmtId="0" fontId="10" fillId="35" borderId="20" xfId="53" applyFill="1" applyBorder="1" applyAlignment="1" applyProtection="1">
      <alignment horizontal="left"/>
      <protection locked="0"/>
    </xf>
    <xf numFmtId="0" fontId="10" fillId="35" borderId="21" xfId="53" applyFill="1" applyBorder="1" applyAlignment="1" applyProtection="1">
      <alignment horizontal="left"/>
      <protection locked="0"/>
    </xf>
    <xf numFmtId="0" fontId="10" fillId="35" borderId="22" xfId="53" applyFill="1" applyBorder="1" applyAlignment="1" applyProtection="1">
      <alignment horizontal="left"/>
      <protection locked="0"/>
    </xf>
    <xf numFmtId="0" fontId="10" fillId="35" borderId="45" xfId="53" applyFill="1" applyBorder="1" applyAlignment="1" applyProtection="1">
      <alignment horizontal="left"/>
      <protection locked="0"/>
    </xf>
    <xf numFmtId="0" fontId="25" fillId="29" borderId="39" xfId="53" applyFont="1" applyFill="1" applyBorder="1" applyAlignment="1">
      <alignment horizontal="center" vertical="center" wrapText="1"/>
    </xf>
    <xf numFmtId="0" fontId="25" fillId="29" borderId="27" xfId="53" applyFont="1" applyFill="1" applyBorder="1" applyAlignment="1">
      <alignment horizontal="center" vertical="center" wrapText="1"/>
    </xf>
    <xf numFmtId="0" fontId="25" fillId="29" borderId="28" xfId="53" applyFont="1" applyFill="1" applyBorder="1" applyAlignment="1">
      <alignment horizontal="center" vertical="center" wrapText="1"/>
    </xf>
    <xf numFmtId="0" fontId="11" fillId="30" borderId="65" xfId="53" applyFont="1" applyFill="1" applyBorder="1" applyAlignment="1">
      <alignment horizontal="center" vertical="center" textRotation="90"/>
    </xf>
    <xf numFmtId="0" fontId="11" fillId="30" borderId="58" xfId="53" applyFont="1" applyFill="1" applyBorder="1" applyAlignment="1">
      <alignment horizontal="center" vertical="center" textRotation="90"/>
    </xf>
    <xf numFmtId="0" fontId="11" fillId="30" borderId="61" xfId="53" applyFont="1" applyFill="1" applyBorder="1" applyAlignment="1">
      <alignment horizontal="center" vertical="center" textRotation="90"/>
    </xf>
    <xf numFmtId="0" fontId="11" fillId="30" borderId="65" xfId="53" applyFont="1" applyFill="1" applyBorder="1" applyAlignment="1">
      <alignment horizontal="center" vertical="center" textRotation="90" wrapText="1"/>
    </xf>
    <xf numFmtId="0" fontId="11" fillId="30" borderId="58" xfId="53" applyFont="1" applyFill="1" applyBorder="1" applyAlignment="1">
      <alignment horizontal="center" vertical="center" textRotation="90" wrapText="1"/>
    </xf>
    <xf numFmtId="0" fontId="11" fillId="30" borderId="61" xfId="53" applyFont="1" applyFill="1" applyBorder="1" applyAlignment="1">
      <alignment horizontal="center" vertical="center" textRotation="90" wrapText="1"/>
    </xf>
    <xf numFmtId="0" fontId="52" fillId="0" borderId="39" xfId="53" applyFont="1" applyBorder="1" applyAlignment="1">
      <alignment horizontal="center" vertical="center" wrapText="1"/>
    </xf>
    <xf numFmtId="0" fontId="52" fillId="0" borderId="40" xfId="53" applyFont="1" applyBorder="1" applyAlignment="1">
      <alignment horizontal="center" vertical="center" wrapText="1"/>
    </xf>
    <xf numFmtId="1" fontId="83" fillId="35" borderId="117" xfId="53" applyNumberFormat="1" applyFont="1" applyFill="1" applyBorder="1" applyAlignment="1" applyProtection="1">
      <alignment horizontal="center" vertical="center" wrapText="1"/>
      <protection locked="0"/>
    </xf>
    <xf numFmtId="1" fontId="83" fillId="35" borderId="118" xfId="53" applyNumberFormat="1" applyFont="1" applyFill="1" applyBorder="1" applyAlignment="1" applyProtection="1">
      <alignment horizontal="center" vertical="center" wrapText="1"/>
      <protection locked="0"/>
    </xf>
    <xf numFmtId="0" fontId="25" fillId="29" borderId="98" xfId="53" applyFont="1" applyFill="1" applyBorder="1" applyAlignment="1">
      <alignment horizontal="center" vertical="center" wrapText="1"/>
    </xf>
    <xf numFmtId="0" fontId="25" fillId="29" borderId="52" xfId="53" applyFont="1" applyFill="1" applyBorder="1" applyAlignment="1">
      <alignment horizontal="center" vertical="center" wrapText="1"/>
    </xf>
    <xf numFmtId="0" fontId="25" fillId="29" borderId="99" xfId="53" applyFont="1" applyFill="1" applyBorder="1" applyAlignment="1">
      <alignment horizontal="center" vertical="center" wrapText="1"/>
    </xf>
    <xf numFmtId="0" fontId="25" fillId="29" borderId="108" xfId="53" applyFont="1" applyFill="1" applyBorder="1" applyAlignment="1">
      <alignment horizontal="center" vertical="center" wrapText="1"/>
    </xf>
    <xf numFmtId="0" fontId="25" fillId="29" borderId="109" xfId="53" applyFont="1" applyFill="1" applyBorder="1" applyAlignment="1">
      <alignment horizontal="center" vertical="center" wrapText="1"/>
    </xf>
    <xf numFmtId="0" fontId="25" fillId="29" borderId="105" xfId="53" applyFont="1" applyFill="1" applyBorder="1" applyAlignment="1">
      <alignment horizontal="center" vertical="center" wrapText="1"/>
    </xf>
    <xf numFmtId="166" fontId="83" fillId="35" borderId="119" xfId="53" applyNumberFormat="1" applyFont="1" applyFill="1" applyBorder="1" applyAlignment="1" applyProtection="1">
      <alignment horizontal="center" vertical="center"/>
      <protection locked="0"/>
    </xf>
    <xf numFmtId="166" fontId="83" fillId="35" borderId="116" xfId="53" applyNumberFormat="1" applyFont="1" applyFill="1" applyBorder="1" applyAlignment="1" applyProtection="1">
      <alignment horizontal="center" vertical="center"/>
      <protection locked="0"/>
    </xf>
    <xf numFmtId="0" fontId="25" fillId="29" borderId="112" xfId="53" applyFont="1" applyFill="1" applyBorder="1" applyAlignment="1">
      <alignment horizontal="center" vertical="center" wrapText="1"/>
    </xf>
    <xf numFmtId="0" fontId="25" fillId="29" borderId="87" xfId="53" applyFont="1" applyFill="1" applyBorder="1" applyAlignment="1">
      <alignment horizontal="center" vertical="center" wrapText="1"/>
    </xf>
    <xf numFmtId="0" fontId="25" fillId="29" borderId="111" xfId="53" applyFont="1" applyFill="1" applyBorder="1" applyAlignment="1">
      <alignment horizontal="center" vertical="center" wrapText="1"/>
    </xf>
    <xf numFmtId="0" fontId="79" fillId="47" borderId="0" xfId="0" applyFont="1" applyFill="1" applyAlignment="1">
      <alignment horizontal="center"/>
    </xf>
    <xf numFmtId="0" fontId="0" fillId="47" borderId="0" xfId="0" applyFill="1" applyAlignment="1">
      <alignment horizontal="left" vertical="top" wrapText="1"/>
    </xf>
    <xf numFmtId="0" fontId="84" fillId="47" borderId="40" xfId="0" applyFont="1" applyFill="1" applyBorder="1" applyAlignment="1">
      <alignment horizontal="left"/>
    </xf>
    <xf numFmtId="0" fontId="84" fillId="47" borderId="0" xfId="0" applyFont="1" applyFill="1" applyAlignment="1">
      <alignment horizontal="left"/>
    </xf>
    <xf numFmtId="0" fontId="84" fillId="47" borderId="29" xfId="0" applyFont="1" applyFill="1" applyBorder="1" applyAlignment="1">
      <alignment horizontal="left"/>
    </xf>
    <xf numFmtId="0" fontId="84" fillId="47" borderId="41" xfId="0" applyFont="1" applyFill="1" applyBorder="1" applyAlignment="1">
      <alignment horizontal="left"/>
    </xf>
    <xf numFmtId="0" fontId="84" fillId="47" borderId="30" xfId="0" applyFont="1" applyFill="1" applyBorder="1" applyAlignment="1">
      <alignment horizontal="left"/>
    </xf>
    <xf numFmtId="0" fontId="84" fillId="47" borderId="31" xfId="0" applyFont="1" applyFill="1" applyBorder="1" applyAlignment="1">
      <alignment horizontal="left"/>
    </xf>
    <xf numFmtId="0" fontId="79" fillId="47" borderId="40" xfId="0" applyFont="1" applyFill="1" applyBorder="1" applyAlignment="1">
      <alignment horizontal="center"/>
    </xf>
    <xf numFmtId="0" fontId="79" fillId="47" borderId="29" xfId="0" applyFont="1" applyFill="1" applyBorder="1" applyAlignment="1">
      <alignment horizontal="center"/>
    </xf>
    <xf numFmtId="0" fontId="13" fillId="31" borderId="20" xfId="53" applyFont="1" applyFill="1" applyBorder="1" applyAlignment="1">
      <alignment horizontal="left" wrapText="1"/>
    </xf>
    <xf numFmtId="0" fontId="13" fillId="31" borderId="21" xfId="53" applyFont="1" applyFill="1" applyBorder="1" applyAlignment="1">
      <alignment horizontal="left" wrapText="1"/>
    </xf>
    <xf numFmtId="0" fontId="13" fillId="31" borderId="22" xfId="53" applyFont="1" applyFill="1" applyBorder="1" applyAlignment="1">
      <alignment horizontal="left" wrapText="1"/>
    </xf>
    <xf numFmtId="0" fontId="0" fillId="49" borderId="90" xfId="0" applyFill="1" applyBorder="1" applyAlignment="1">
      <alignment horizontal="center"/>
    </xf>
    <xf numFmtId="0" fontId="0" fillId="49" borderId="23" xfId="0" applyFill="1" applyBorder="1" applyAlignment="1">
      <alignment horizontal="center"/>
    </xf>
    <xf numFmtId="0" fontId="0" fillId="49" borderId="100" xfId="0" applyFill="1" applyBorder="1" applyAlignment="1">
      <alignment horizontal="center"/>
    </xf>
    <xf numFmtId="0" fontId="0" fillId="49" borderId="45" xfId="0" applyFill="1" applyBorder="1" applyAlignment="1">
      <alignment horizontal="center"/>
    </xf>
    <xf numFmtId="0" fontId="13" fillId="31" borderId="20" xfId="53" applyFont="1" applyFill="1" applyBorder="1" applyAlignment="1">
      <alignment horizontal="left"/>
    </xf>
    <xf numFmtId="0" fontId="13" fillId="31" borderId="21" xfId="53" applyFont="1" applyFill="1" applyBorder="1" applyAlignment="1">
      <alignment horizontal="left"/>
    </xf>
    <xf numFmtId="0" fontId="13" fillId="31" borderId="22" xfId="53" applyFont="1" applyFill="1" applyBorder="1" applyAlignment="1">
      <alignment horizontal="left"/>
    </xf>
    <xf numFmtId="0" fontId="13" fillId="35" borderId="67" xfId="53" applyFont="1" applyFill="1" applyBorder="1" applyAlignment="1" applyProtection="1">
      <alignment horizontal="left" wrapText="1"/>
      <protection locked="0"/>
    </xf>
    <xf numFmtId="0" fontId="13" fillId="35" borderId="68" xfId="53" applyFont="1" applyFill="1" applyBorder="1" applyAlignment="1" applyProtection="1">
      <alignment horizontal="left" wrapText="1"/>
      <protection locked="0"/>
    </xf>
    <xf numFmtId="0" fontId="13" fillId="35" borderId="59" xfId="53" applyFont="1" applyFill="1" applyBorder="1" applyAlignment="1" applyProtection="1">
      <alignment horizontal="left" wrapText="1"/>
      <protection locked="0"/>
    </xf>
    <xf numFmtId="0" fontId="13" fillId="35" borderId="69" xfId="53" applyFont="1" applyFill="1" applyBorder="1" applyAlignment="1" applyProtection="1">
      <alignment horizontal="left" wrapText="1"/>
      <protection locked="0"/>
    </xf>
    <xf numFmtId="0" fontId="13" fillId="35" borderId="0" xfId="53" applyFont="1" applyFill="1" applyAlignment="1" applyProtection="1">
      <alignment horizontal="left" wrapText="1"/>
      <protection locked="0"/>
    </xf>
    <xf numFmtId="0" fontId="13" fillId="35" borderId="70" xfId="53" applyFont="1" applyFill="1" applyBorder="1" applyAlignment="1" applyProtection="1">
      <alignment horizontal="left" wrapText="1"/>
      <protection locked="0"/>
    </xf>
    <xf numFmtId="0" fontId="13" fillId="35" borderId="71" xfId="53" applyFont="1" applyFill="1" applyBorder="1" applyAlignment="1" applyProtection="1">
      <alignment horizontal="left" wrapText="1"/>
      <protection locked="0"/>
    </xf>
    <xf numFmtId="0" fontId="13" fillId="35" borderId="63" xfId="53" applyFont="1" applyFill="1" applyBorder="1" applyAlignment="1" applyProtection="1">
      <alignment horizontal="left" wrapText="1"/>
      <protection locked="0"/>
    </xf>
    <xf numFmtId="0" fontId="13" fillId="35" borderId="72" xfId="53" applyFont="1" applyFill="1" applyBorder="1" applyAlignment="1" applyProtection="1">
      <alignment horizontal="left" wrapText="1"/>
      <protection locked="0"/>
    </xf>
    <xf numFmtId="0" fontId="79" fillId="47" borderId="40" xfId="0" applyFont="1" applyFill="1" applyBorder="1" applyAlignment="1">
      <alignment horizontal="center" vertical="center"/>
    </xf>
    <xf numFmtId="0" fontId="79" fillId="47" borderId="0" xfId="0" applyFont="1" applyFill="1" applyAlignment="1">
      <alignment horizontal="center" vertical="center"/>
    </xf>
    <xf numFmtId="0" fontId="79" fillId="47" borderId="29" xfId="0" applyFont="1" applyFill="1" applyBorder="1" applyAlignment="1">
      <alignment horizontal="center" vertical="center"/>
    </xf>
    <xf numFmtId="0" fontId="84" fillId="36" borderId="101" xfId="0" applyFont="1" applyFill="1" applyBorder="1" applyAlignment="1">
      <alignment horizontal="center" vertical="center"/>
    </xf>
    <xf numFmtId="0" fontId="84" fillId="36" borderId="85" xfId="0" applyFont="1" applyFill="1" applyBorder="1" applyAlignment="1">
      <alignment horizontal="center" vertical="center"/>
    </xf>
    <xf numFmtId="0" fontId="84" fillId="36" borderId="86" xfId="0" applyFont="1" applyFill="1" applyBorder="1" applyAlignment="1">
      <alignment horizontal="center" vertical="center"/>
    </xf>
    <xf numFmtId="0" fontId="0" fillId="49" borderId="98" xfId="0" applyFill="1" applyBorder="1" applyAlignment="1">
      <alignment horizontal="center"/>
    </xf>
    <xf numFmtId="0" fontId="0" fillId="49" borderId="52" xfId="0" applyFill="1" applyBorder="1" applyAlignment="1">
      <alignment horizontal="center"/>
    </xf>
    <xf numFmtId="0" fontId="0" fillId="49" borderId="108" xfId="0" applyFill="1" applyBorder="1" applyAlignment="1">
      <alignment horizontal="center"/>
    </xf>
    <xf numFmtId="0" fontId="0" fillId="49" borderId="109" xfId="0" applyFill="1" applyBorder="1" applyAlignment="1">
      <alignment horizontal="center"/>
    </xf>
    <xf numFmtId="0" fontId="0" fillId="49" borderId="105" xfId="0" applyFill="1" applyBorder="1" applyAlignment="1">
      <alignment horizontal="center"/>
    </xf>
    <xf numFmtId="0" fontId="25" fillId="49" borderId="0" xfId="0" applyFont="1" applyFill="1" applyAlignment="1">
      <alignment horizontal="left" vertical="center" wrapText="1"/>
    </xf>
    <xf numFmtId="0" fontId="25" fillId="49" borderId="29" xfId="0" applyFont="1" applyFill="1" applyBorder="1" applyAlignment="1">
      <alignment horizontal="left" vertical="center" wrapText="1"/>
    </xf>
    <xf numFmtId="0" fontId="25" fillId="49" borderId="30" xfId="0" applyFont="1" applyFill="1" applyBorder="1" applyAlignment="1">
      <alignment horizontal="left" vertical="center" wrapText="1"/>
    </xf>
    <xf numFmtId="0" fontId="25" fillId="49" borderId="31" xfId="0" applyFont="1" applyFill="1" applyBorder="1" applyAlignment="1">
      <alignment horizontal="left" vertical="center" wrapText="1"/>
    </xf>
    <xf numFmtId="1" fontId="11" fillId="30" borderId="0" xfId="53" applyNumberFormat="1" applyFont="1" applyFill="1" applyAlignment="1">
      <alignment horizontal="center" vertical="center" wrapText="1"/>
    </xf>
    <xf numFmtId="0" fontId="25" fillId="0" borderId="0" xfId="53" applyFont="1" applyAlignment="1">
      <alignment horizontal="left" vertical="center" wrapText="1"/>
    </xf>
    <xf numFmtId="0" fontId="13" fillId="37" borderId="12" xfId="53" applyFont="1" applyFill="1" applyBorder="1" applyAlignment="1" applyProtection="1">
      <alignment horizontal="left" wrapText="1"/>
      <protection locked="0"/>
    </xf>
    <xf numFmtId="0" fontId="13" fillId="37" borderId="73" xfId="53" applyFont="1" applyFill="1" applyBorder="1" applyAlignment="1" applyProtection="1">
      <alignment horizontal="left" wrapText="1"/>
      <protection locked="0"/>
    </xf>
    <xf numFmtId="0" fontId="11" fillId="30" borderId="39" xfId="53" applyFont="1" applyFill="1" applyBorder="1" applyAlignment="1">
      <alignment horizontal="center" vertical="center" textRotation="90" wrapText="1"/>
    </xf>
    <xf numFmtId="0" fontId="11" fillId="30" borderId="40" xfId="53" applyFont="1" applyFill="1" applyBorder="1" applyAlignment="1">
      <alignment horizontal="center" vertical="center" textRotation="90" wrapText="1"/>
    </xf>
    <xf numFmtId="0" fontId="11" fillId="30" borderId="41" xfId="53" applyFont="1" applyFill="1" applyBorder="1" applyAlignment="1">
      <alignment horizontal="center" vertical="center" textRotation="90" wrapText="1"/>
    </xf>
    <xf numFmtId="0" fontId="25" fillId="40" borderId="65" xfId="0" applyFont="1" applyFill="1" applyBorder="1" applyAlignment="1">
      <alignment horizontal="center" vertical="center" textRotation="90" wrapText="1"/>
    </xf>
    <xf numFmtId="0" fontId="25" fillId="40" borderId="58" xfId="0" applyFont="1" applyFill="1" applyBorder="1" applyAlignment="1">
      <alignment horizontal="center" vertical="center" textRotation="90" wrapText="1"/>
    </xf>
    <xf numFmtId="0" fontId="25" fillId="40" borderId="61" xfId="0" applyFont="1" applyFill="1" applyBorder="1" applyAlignment="1">
      <alignment horizontal="center" vertical="center" textRotation="90" wrapText="1"/>
    </xf>
    <xf numFmtId="0" fontId="13" fillId="32" borderId="47" xfId="53" applyFont="1" applyFill="1" applyBorder="1" applyAlignment="1">
      <alignment horizontal="left" wrapText="1"/>
    </xf>
    <xf numFmtId="0" fontId="13" fillId="32" borderId="33" xfId="53" applyFont="1" applyFill="1" applyBorder="1" applyAlignment="1">
      <alignment horizontal="left" wrapText="1"/>
    </xf>
    <xf numFmtId="0" fontId="13" fillId="32" borderId="91" xfId="53" applyFont="1" applyFill="1" applyBorder="1" applyAlignment="1">
      <alignment horizontal="left" wrapText="1"/>
    </xf>
    <xf numFmtId="0" fontId="11" fillId="0" borderId="92" xfId="53" applyFont="1" applyBorder="1" applyAlignment="1">
      <alignment horizontal="center" vertical="center" textRotation="90"/>
    </xf>
    <xf numFmtId="0" fontId="11" fillId="0" borderId="88" xfId="53" applyFont="1" applyBorder="1" applyAlignment="1">
      <alignment horizontal="center" vertical="center" textRotation="90"/>
    </xf>
    <xf numFmtId="0" fontId="11" fillId="0" borderId="89" xfId="53" applyFont="1" applyBorder="1" applyAlignment="1">
      <alignment horizontal="center" vertical="center" textRotation="90"/>
    </xf>
    <xf numFmtId="0" fontId="13" fillId="37" borderId="13" xfId="53" applyFont="1" applyFill="1" applyBorder="1" applyAlignment="1" applyProtection="1">
      <alignment horizontal="left"/>
      <protection locked="0"/>
    </xf>
    <xf numFmtId="0" fontId="13" fillId="37" borderId="49" xfId="53" applyFont="1" applyFill="1" applyBorder="1" applyAlignment="1" applyProtection="1">
      <alignment horizontal="left"/>
      <protection locked="0"/>
    </xf>
    <xf numFmtId="0" fontId="13" fillId="37" borderId="18" xfId="53" applyFont="1" applyFill="1" applyBorder="1" applyAlignment="1" applyProtection="1">
      <alignment horizontal="left"/>
      <protection locked="0"/>
    </xf>
    <xf numFmtId="0" fontId="11" fillId="0" borderId="74" xfId="53" applyFont="1" applyBorder="1" applyAlignment="1">
      <alignment horizontal="center" vertical="center" textRotation="90"/>
    </xf>
    <xf numFmtId="0" fontId="13" fillId="32" borderId="93" xfId="53" applyFont="1" applyFill="1" applyBorder="1" applyAlignment="1">
      <alignment horizontal="left"/>
    </xf>
    <xf numFmtId="0" fontId="13" fillId="32" borderId="94" xfId="53" applyFont="1" applyFill="1" applyBorder="1" applyAlignment="1">
      <alignment horizontal="left"/>
    </xf>
    <xf numFmtId="0" fontId="13" fillId="32" borderId="95" xfId="53" applyFont="1" applyFill="1" applyBorder="1" applyAlignment="1">
      <alignment horizontal="left"/>
    </xf>
    <xf numFmtId="0" fontId="10" fillId="0" borderId="75" xfId="53" applyBorder="1" applyAlignment="1">
      <alignment horizontal="right"/>
    </xf>
    <xf numFmtId="0" fontId="10" fillId="0" borderId="76" xfId="53" applyBorder="1" applyAlignment="1">
      <alignment horizontal="right"/>
    </xf>
    <xf numFmtId="1" fontId="51" fillId="32" borderId="10" xfId="53" applyNumberFormat="1" applyFont="1" applyFill="1" applyBorder="1" applyAlignment="1">
      <alignment horizontal="left"/>
    </xf>
    <xf numFmtId="0" fontId="51" fillId="32" borderId="10" xfId="53" applyFont="1" applyFill="1" applyBorder="1" applyAlignment="1">
      <alignment horizontal="left"/>
    </xf>
    <xf numFmtId="0" fontId="22" fillId="0" borderId="12" xfId="53" applyFont="1" applyBorder="1" applyAlignment="1">
      <alignment horizontal="center"/>
    </xf>
    <xf numFmtId="0" fontId="10" fillId="32" borderId="12" xfId="53" applyFill="1" applyBorder="1" applyAlignment="1">
      <alignment horizontal="left"/>
    </xf>
    <xf numFmtId="0" fontId="10" fillId="32" borderId="19" xfId="53" applyFill="1" applyBorder="1" applyAlignment="1">
      <alignment horizontal="left"/>
    </xf>
    <xf numFmtId="0" fontId="13" fillId="32" borderId="12" xfId="53" applyFont="1" applyFill="1" applyBorder="1" applyAlignment="1">
      <alignment horizontal="left" wrapText="1"/>
    </xf>
    <xf numFmtId="0" fontId="13" fillId="32" borderId="19" xfId="53" applyFont="1" applyFill="1" applyBorder="1" applyAlignment="1">
      <alignment horizontal="left" wrapText="1"/>
    </xf>
    <xf numFmtId="0" fontId="13" fillId="32" borderId="34" xfId="53" applyFont="1" applyFill="1" applyBorder="1" applyAlignment="1">
      <alignment horizontal="left" wrapText="1"/>
    </xf>
    <xf numFmtId="0" fontId="13" fillId="33" borderId="20" xfId="53" applyFont="1" applyFill="1" applyBorder="1" applyAlignment="1">
      <alignment horizontal="left" wrapText="1"/>
    </xf>
    <xf numFmtId="0" fontId="13" fillId="33" borderId="21" xfId="53" applyFont="1" applyFill="1" applyBorder="1" applyAlignment="1">
      <alignment horizontal="left" wrapText="1"/>
    </xf>
    <xf numFmtId="0" fontId="13" fillId="33" borderId="22" xfId="53" applyFont="1" applyFill="1" applyBorder="1" applyAlignment="1">
      <alignment horizontal="left" wrapText="1"/>
    </xf>
    <xf numFmtId="0" fontId="13" fillId="37" borderId="20" xfId="53" applyFont="1" applyFill="1" applyBorder="1" applyAlignment="1" applyProtection="1">
      <alignment horizontal="left" wrapText="1"/>
      <protection locked="0"/>
    </xf>
    <xf numFmtId="0" fontId="13" fillId="37" borderId="22" xfId="53" applyFont="1" applyFill="1" applyBorder="1" applyAlignment="1" applyProtection="1">
      <alignment horizontal="left" wrapText="1"/>
      <protection locked="0"/>
    </xf>
    <xf numFmtId="0" fontId="11" fillId="0" borderId="65" xfId="53" applyFont="1" applyBorder="1" applyAlignment="1">
      <alignment horizontal="center" vertical="center" textRotation="90"/>
    </xf>
    <xf numFmtId="0" fontId="11" fillId="0" borderId="58" xfId="53" applyFont="1" applyBorder="1" applyAlignment="1">
      <alignment horizontal="center" vertical="center" textRotation="90"/>
    </xf>
    <xf numFmtId="0" fontId="11" fillId="0" borderId="61" xfId="53" applyFont="1" applyBorder="1" applyAlignment="1">
      <alignment horizontal="center" vertical="center" textRotation="90"/>
    </xf>
    <xf numFmtId="0" fontId="51" fillId="32" borderId="12" xfId="53" applyFont="1" applyFill="1" applyBorder="1" applyAlignment="1">
      <alignment horizontal="center"/>
    </xf>
    <xf numFmtId="0" fontId="51" fillId="32" borderId="34" xfId="53" applyFont="1" applyFill="1" applyBorder="1" applyAlignment="1">
      <alignment horizontal="center"/>
    </xf>
    <xf numFmtId="0" fontId="67" fillId="0" borderId="52" xfId="53" applyFont="1" applyBorder="1" applyAlignment="1">
      <alignment horizontal="right"/>
    </xf>
    <xf numFmtId="0" fontId="10" fillId="24" borderId="23" xfId="53" applyFill="1" applyBorder="1" applyAlignment="1">
      <alignment horizontal="left" vertical="top" wrapText="1"/>
    </xf>
    <xf numFmtId="0" fontId="67" fillId="33" borderId="23" xfId="53" applyFont="1" applyFill="1" applyBorder="1" applyAlignment="1">
      <alignment horizontal="left" wrapText="1"/>
    </xf>
    <xf numFmtId="0" fontId="10" fillId="24" borderId="45" xfId="53" applyFill="1" applyBorder="1" applyAlignment="1">
      <alignment horizontal="left" wrapText="1"/>
    </xf>
    <xf numFmtId="0" fontId="10" fillId="24" borderId="96" xfId="53" applyFill="1" applyBorder="1" applyAlignment="1">
      <alignment horizontal="left" wrapText="1"/>
    </xf>
    <xf numFmtId="0" fontId="66" fillId="0" borderId="23" xfId="53" applyFont="1" applyBorder="1" applyAlignment="1">
      <alignment horizontal="center" vertical="center" textRotation="90"/>
    </xf>
    <xf numFmtId="0" fontId="67" fillId="32" borderId="23" xfId="53" applyFont="1" applyFill="1" applyBorder="1" applyAlignment="1">
      <alignment horizontal="left" wrapText="1"/>
    </xf>
    <xf numFmtId="1" fontId="66" fillId="32" borderId="23" xfId="53" applyNumberFormat="1" applyFont="1" applyFill="1" applyBorder="1" applyAlignment="1">
      <alignment horizontal="left" wrapText="1"/>
    </xf>
    <xf numFmtId="0" fontId="66" fillId="32" borderId="23" xfId="53" applyFont="1" applyFill="1" applyBorder="1" applyAlignment="1">
      <alignment horizontal="left" wrapText="1"/>
    </xf>
    <xf numFmtId="0" fontId="67" fillId="0" borderId="23" xfId="53" applyFont="1" applyBorder="1" applyAlignment="1">
      <alignment horizontal="center"/>
    </xf>
    <xf numFmtId="0" fontId="66" fillId="32" borderId="23" xfId="53" applyFont="1" applyFill="1" applyBorder="1" applyAlignment="1">
      <alignment horizontal="left"/>
    </xf>
    <xf numFmtId="0" fontId="67" fillId="32" borderId="23" xfId="53" applyFont="1" applyFill="1" applyBorder="1" applyAlignment="1">
      <alignment horizontal="left"/>
    </xf>
    <xf numFmtId="0" fontId="86" fillId="47" borderId="0" xfId="0" applyFont="1" applyFill="1" applyAlignment="1">
      <alignment horizontal="center"/>
    </xf>
    <xf numFmtId="0" fontId="0" fillId="47" borderId="20" xfId="0" applyFill="1" applyBorder="1" applyAlignment="1" applyProtection="1">
      <alignment horizontal="left"/>
      <protection locked="0"/>
    </xf>
    <xf numFmtId="0" fontId="0" fillId="47" borderId="21" xfId="0" applyFill="1" applyBorder="1" applyAlignment="1" applyProtection="1">
      <alignment horizontal="left"/>
      <protection locked="0"/>
    </xf>
    <xf numFmtId="0" fontId="0" fillId="47" borderId="22" xfId="0" applyFill="1" applyBorder="1" applyAlignment="1" applyProtection="1">
      <alignment horizontal="left"/>
      <protection locked="0"/>
    </xf>
    <xf numFmtId="0" fontId="0" fillId="47" borderId="67" xfId="0" applyFill="1" applyBorder="1" applyAlignment="1" applyProtection="1">
      <alignment horizontal="center"/>
      <protection locked="0"/>
    </xf>
    <xf numFmtId="0" fontId="0" fillId="47" borderId="68" xfId="0" applyFill="1" applyBorder="1" applyAlignment="1" applyProtection="1">
      <alignment horizontal="center"/>
      <protection locked="0"/>
    </xf>
    <xf numFmtId="0" fontId="0" fillId="47" borderId="59" xfId="0" applyFill="1" applyBorder="1" applyAlignment="1" applyProtection="1">
      <alignment horizontal="center"/>
      <protection locked="0"/>
    </xf>
    <xf numFmtId="0" fontId="0" fillId="47" borderId="69" xfId="0" applyFill="1" applyBorder="1" applyAlignment="1" applyProtection="1">
      <alignment horizontal="center"/>
      <protection locked="0"/>
    </xf>
    <xf numFmtId="0" fontId="0" fillId="47" borderId="0" xfId="0" applyFill="1" applyAlignment="1" applyProtection="1">
      <alignment horizontal="center"/>
      <protection locked="0"/>
    </xf>
    <xf numFmtId="0" fontId="0" fillId="47" borderId="70" xfId="0" applyFill="1" applyBorder="1" applyAlignment="1" applyProtection="1">
      <alignment horizontal="center"/>
      <protection locked="0"/>
    </xf>
    <xf numFmtId="0" fontId="0" fillId="47" borderId="71" xfId="0" applyFill="1" applyBorder="1" applyAlignment="1" applyProtection="1">
      <alignment horizontal="center"/>
      <protection locked="0"/>
    </xf>
    <xf numFmtId="0" fontId="0" fillId="47" borderId="63" xfId="0" applyFill="1" applyBorder="1" applyAlignment="1" applyProtection="1">
      <alignment horizontal="center"/>
      <protection locked="0"/>
    </xf>
    <xf numFmtId="0" fontId="0" fillId="47" borderId="72" xfId="0" applyFill="1" applyBorder="1" applyAlignment="1" applyProtection="1">
      <alignment horizontal="center"/>
      <protection locked="0"/>
    </xf>
    <xf numFmtId="0" fontId="0" fillId="47" borderId="20" xfId="0" applyFill="1" applyBorder="1" applyAlignment="1" applyProtection="1">
      <alignment horizontal="center"/>
      <protection locked="0"/>
    </xf>
    <xf numFmtId="0" fontId="0" fillId="47" borderId="21" xfId="0" applyFill="1" applyBorder="1" applyAlignment="1" applyProtection="1">
      <alignment horizontal="center"/>
      <protection locked="0"/>
    </xf>
    <xf numFmtId="0" fontId="0" fillId="47" borderId="22" xfId="0" applyFill="1" applyBorder="1" applyAlignment="1" applyProtection="1">
      <alignment horizontal="center"/>
      <protection locked="0"/>
    </xf>
    <xf numFmtId="1" fontId="0" fillId="47" borderId="20" xfId="0" applyNumberFormat="1" applyFill="1" applyBorder="1" applyAlignment="1" applyProtection="1">
      <alignment horizontal="center"/>
      <protection locked="0"/>
    </xf>
    <xf numFmtId="1" fontId="0" fillId="47" borderId="21" xfId="0" applyNumberFormat="1" applyFill="1" applyBorder="1" applyAlignment="1" applyProtection="1">
      <alignment horizontal="center"/>
      <protection locked="0"/>
    </xf>
    <xf numFmtId="1" fontId="0" fillId="47" borderId="22" xfId="0" applyNumberFormat="1" applyFill="1" applyBorder="1" applyAlignment="1" applyProtection="1">
      <alignment horizontal="center"/>
      <protection locked="0"/>
    </xf>
    <xf numFmtId="0" fontId="0" fillId="47" borderId="0" xfId="0" applyFill="1" applyAlignment="1">
      <alignment horizontal="left"/>
    </xf>
    <xf numFmtId="0" fontId="54" fillId="47" borderId="0" xfId="0" applyFont="1" applyFill="1" applyAlignment="1">
      <alignment horizontal="center"/>
    </xf>
    <xf numFmtId="0" fontId="0" fillId="47" borderId="67" xfId="0" applyFill="1" applyBorder="1" applyAlignment="1" applyProtection="1">
      <alignment horizontal="center" vertical="top"/>
      <protection locked="0"/>
    </xf>
    <xf numFmtId="0" fontId="0" fillId="47" borderId="68" xfId="0" applyFill="1" applyBorder="1" applyAlignment="1" applyProtection="1">
      <alignment horizontal="center" vertical="top"/>
      <protection locked="0"/>
    </xf>
    <xf numFmtId="0" fontId="0" fillId="47" borderId="59" xfId="0" applyFill="1" applyBorder="1" applyAlignment="1" applyProtection="1">
      <alignment horizontal="center" vertical="top"/>
      <protection locked="0"/>
    </xf>
    <xf numFmtId="0" fontId="0" fillId="47" borderId="69" xfId="0" applyFill="1" applyBorder="1" applyAlignment="1" applyProtection="1">
      <alignment horizontal="center" vertical="top"/>
      <protection locked="0"/>
    </xf>
    <xf numFmtId="0" fontId="0" fillId="47" borderId="0" xfId="0" applyFill="1" applyAlignment="1" applyProtection="1">
      <alignment horizontal="center" vertical="top"/>
      <protection locked="0"/>
    </xf>
    <xf numFmtId="0" fontId="0" fillId="47" borderId="70" xfId="0" applyFill="1" applyBorder="1" applyAlignment="1" applyProtection="1">
      <alignment horizontal="center" vertical="top"/>
      <protection locked="0"/>
    </xf>
    <xf numFmtId="0" fontId="0" fillId="47" borderId="71" xfId="0" applyFill="1" applyBorder="1" applyAlignment="1" applyProtection="1">
      <alignment horizontal="center" vertical="top"/>
      <protection locked="0"/>
    </xf>
    <xf numFmtId="0" fontId="0" fillId="47" borderId="63" xfId="0" applyFill="1" applyBorder="1" applyAlignment="1" applyProtection="1">
      <alignment horizontal="center" vertical="top"/>
      <protection locked="0"/>
    </xf>
    <xf numFmtId="0" fontId="0" fillId="47" borderId="72" xfId="0" applyFill="1" applyBorder="1" applyAlignment="1" applyProtection="1">
      <alignment horizontal="center" vertical="top"/>
      <protection locked="0"/>
    </xf>
  </cellXfs>
  <cellStyles count="354">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1000000}"/>
    <cellStyle name="Accent3 3" xfId="99" xr:uid="{00000000-0005-0000-0000-000022000000}"/>
    <cellStyle name="Accent4 2" xfId="34" xr:uid="{00000000-0005-0000-0000-000023000000}"/>
    <cellStyle name="Accent5 2" xfId="35" xr:uid="{00000000-0005-0000-0000-000024000000}"/>
    <cellStyle name="Accent6 2" xfId="36" xr:uid="{00000000-0005-0000-0000-000025000000}"/>
    <cellStyle name="Bad" xfId="37" builtinId="27"/>
    <cellStyle name="Bad 2" xfId="38" xr:uid="{00000000-0005-0000-0000-000027000000}"/>
    <cellStyle name="Bad 3" xfId="96" xr:uid="{00000000-0005-0000-0000-000028000000}"/>
    <cellStyle name="Calculation 2" xfId="39" xr:uid="{00000000-0005-0000-0000-000029000000}"/>
    <cellStyle name="Check Cell 2" xfId="40" xr:uid="{00000000-0005-0000-0000-00002A000000}"/>
    <cellStyle name="Comma" xfId="41" builtinId="3"/>
    <cellStyle name="Comma 10" xfId="164" xr:uid="{00000000-0005-0000-0000-00002C000000}"/>
    <cellStyle name="Comma 2" xfId="42" xr:uid="{00000000-0005-0000-0000-00002D000000}"/>
    <cellStyle name="Comma 2 2" xfId="43" xr:uid="{00000000-0005-0000-0000-00002E000000}"/>
    <cellStyle name="Comma 2 2 2" xfId="44" xr:uid="{00000000-0005-0000-0000-00002F000000}"/>
    <cellStyle name="Comma 3" xfId="45" xr:uid="{00000000-0005-0000-0000-000030000000}"/>
    <cellStyle name="Comma 3 2" xfId="46" xr:uid="{00000000-0005-0000-0000-000031000000}"/>
    <cellStyle name="Comma 4" xfId="89" xr:uid="{00000000-0005-0000-0000-000032000000}"/>
    <cellStyle name="Currency" xfId="47" builtinId="4"/>
    <cellStyle name="Currency 2" xfId="48" xr:uid="{00000000-0005-0000-0000-000034000000}"/>
    <cellStyle name="Currency 2 2" xfId="49" xr:uid="{00000000-0005-0000-0000-000035000000}"/>
    <cellStyle name="Currency 2 2 2" xfId="50" xr:uid="{00000000-0005-0000-0000-000036000000}"/>
    <cellStyle name="Currency 2 3" xfId="91" xr:uid="{00000000-0005-0000-0000-000037000000}"/>
    <cellStyle name="Currency 3" xfId="51" xr:uid="{00000000-0005-0000-0000-000038000000}"/>
    <cellStyle name="Currency 3 2" xfId="52" xr:uid="{00000000-0005-0000-0000-000039000000}"/>
    <cellStyle name="Currency 4" xfId="90" xr:uid="{00000000-0005-0000-0000-00003A000000}"/>
    <cellStyle name="Currency 5" xfId="104" xr:uid="{00000000-0005-0000-0000-00003B000000}"/>
    <cellStyle name="Currency 5 2" xfId="114" xr:uid="{00000000-0005-0000-0000-00003C000000}"/>
    <cellStyle name="Currency 5 2 2" xfId="131" xr:uid="{00000000-0005-0000-0000-00003D000000}"/>
    <cellStyle name="Currency 5 2 2 2" xfId="161" xr:uid="{00000000-0005-0000-0000-00003E000000}"/>
    <cellStyle name="Currency 5 2 2 2 2" xfId="225" xr:uid="{00000000-0005-0000-0000-00003F000000}"/>
    <cellStyle name="Currency 5 2 2 2 2 2" xfId="351" xr:uid="{23862319-E30C-4A05-B5D9-729870C2A33F}"/>
    <cellStyle name="Currency 5 2 2 2 3" xfId="304" xr:uid="{00000000-0005-0000-0000-000040000000}"/>
    <cellStyle name="Currency 5 2 2 3" xfId="195" xr:uid="{00000000-0005-0000-0000-000041000000}"/>
    <cellStyle name="Currency 5 2 2 3 2" xfId="321" xr:uid="{3BBF57A0-9438-4056-A87A-3D417E618F03}"/>
    <cellStyle name="Currency 5 2 2 4" xfId="274" xr:uid="{00000000-0005-0000-0000-000042000000}"/>
    <cellStyle name="Currency 5 2 3" xfId="146" xr:uid="{00000000-0005-0000-0000-000043000000}"/>
    <cellStyle name="Currency 5 2 3 2" xfId="210" xr:uid="{00000000-0005-0000-0000-000044000000}"/>
    <cellStyle name="Currency 5 2 3 2 2" xfId="336" xr:uid="{6B2902E6-5511-4DCC-8E7D-A8FCAD0B2645}"/>
    <cellStyle name="Currency 5 2 3 3" xfId="289" xr:uid="{00000000-0005-0000-0000-000045000000}"/>
    <cellStyle name="Currency 5 2 4" xfId="178" xr:uid="{00000000-0005-0000-0000-000046000000}"/>
    <cellStyle name="Currency 5 2 4 2" xfId="259" xr:uid="{00000000-0005-0000-0000-000047000000}"/>
    <cellStyle name="Currency 5 2 5" xfId="241" xr:uid="{00000000-0005-0000-0000-000048000000}"/>
    <cellStyle name="Currency 5 3" xfId="122" xr:uid="{00000000-0005-0000-0000-000049000000}"/>
    <cellStyle name="Currency 5 3 2" xfId="153" xr:uid="{00000000-0005-0000-0000-00004A000000}"/>
    <cellStyle name="Currency 5 3 2 2" xfId="217" xr:uid="{00000000-0005-0000-0000-00004B000000}"/>
    <cellStyle name="Currency 5 3 2 2 2" xfId="343" xr:uid="{0367E666-69C9-42DD-9987-99CEC1F7912E}"/>
    <cellStyle name="Currency 5 3 2 3" xfId="296" xr:uid="{00000000-0005-0000-0000-00004C000000}"/>
    <cellStyle name="Currency 5 3 3" xfId="186" xr:uid="{00000000-0005-0000-0000-00004D000000}"/>
    <cellStyle name="Currency 5 3 3 2" xfId="313" xr:uid="{E5EF799C-FDBB-48B1-8C3F-F9E8EA0C07BB}"/>
    <cellStyle name="Currency 5 3 4" xfId="266" xr:uid="{00000000-0005-0000-0000-00004E000000}"/>
    <cellStyle name="Currency 5 4" xfId="138" xr:uid="{00000000-0005-0000-0000-00004F000000}"/>
    <cellStyle name="Currency 5 4 2" xfId="202" xr:uid="{00000000-0005-0000-0000-000050000000}"/>
    <cellStyle name="Currency 5 4 2 2" xfId="328" xr:uid="{17611894-C64D-4AB3-AD87-12150D0BCF4C}"/>
    <cellStyle name="Currency 5 4 3" xfId="281" xr:uid="{00000000-0005-0000-0000-000051000000}"/>
    <cellStyle name="Currency 5 5" xfId="170" xr:uid="{00000000-0005-0000-0000-000052000000}"/>
    <cellStyle name="Currency 5 5 2" xfId="251" xr:uid="{00000000-0005-0000-0000-000053000000}"/>
    <cellStyle name="Currency 5 6" xfId="233" xr:uid="{00000000-0005-0000-0000-000054000000}"/>
    <cellStyle name="Excel Built-in Normal" xfId="53" xr:uid="{00000000-0005-0000-0000-000055000000}"/>
    <cellStyle name="Explanatory Text 2" xfId="54" xr:uid="{00000000-0005-0000-0000-000056000000}"/>
    <cellStyle name="Good 2" xfId="55" xr:uid="{00000000-0005-0000-0000-000057000000}"/>
    <cellStyle name="Good 3" xfId="105" xr:uid="{00000000-0005-0000-0000-000058000000}"/>
    <cellStyle name="Heading 1 2" xfId="56" xr:uid="{00000000-0005-0000-0000-000059000000}"/>
    <cellStyle name="Heading 2 2" xfId="57" xr:uid="{00000000-0005-0000-0000-00005A000000}"/>
    <cellStyle name="Heading 3 2" xfId="58" xr:uid="{00000000-0005-0000-0000-00005B000000}"/>
    <cellStyle name="Heading 4 2" xfId="59" xr:uid="{00000000-0005-0000-0000-00005C000000}"/>
    <cellStyle name="Hyperlink" xfId="60" builtinId="8"/>
    <cellStyle name="Hyperlink 2" xfId="61" xr:uid="{00000000-0005-0000-0000-00005E000000}"/>
    <cellStyle name="Hyperlink 3" xfId="92" xr:uid="{00000000-0005-0000-0000-00005F000000}"/>
    <cellStyle name="Hyperlink 4" xfId="85" xr:uid="{00000000-0005-0000-0000-000060000000}"/>
    <cellStyle name="Input 2" xfId="62" xr:uid="{00000000-0005-0000-0000-000061000000}"/>
    <cellStyle name="Linked Cell 2" xfId="63" xr:uid="{00000000-0005-0000-0000-000062000000}"/>
    <cellStyle name="Neutral 2" xfId="64" xr:uid="{00000000-0005-0000-0000-000063000000}"/>
    <cellStyle name="Normal" xfId="0" builtinId="0"/>
    <cellStyle name="Normal 10" xfId="102" xr:uid="{00000000-0005-0000-0000-000065000000}"/>
    <cellStyle name="Normal 10 2" xfId="112" xr:uid="{00000000-0005-0000-0000-000066000000}"/>
    <cellStyle name="Normal 10 2 2" xfId="129" xr:uid="{00000000-0005-0000-0000-000067000000}"/>
    <cellStyle name="Normal 10 2 2 2" xfId="159" xr:uid="{00000000-0005-0000-0000-000068000000}"/>
    <cellStyle name="Normal 10 2 2 2 2" xfId="223" xr:uid="{00000000-0005-0000-0000-000069000000}"/>
    <cellStyle name="Normal 10 2 2 2 2 2" xfId="349" xr:uid="{9B924558-ADF4-41DC-BF77-A0A5EFC26249}"/>
    <cellStyle name="Normal 10 2 2 2 3" xfId="302" xr:uid="{00000000-0005-0000-0000-00006A000000}"/>
    <cellStyle name="Normal 10 2 2 3" xfId="193" xr:uid="{00000000-0005-0000-0000-00006B000000}"/>
    <cellStyle name="Normal 10 2 2 3 2" xfId="319" xr:uid="{F2DA1DC6-E950-4BEF-B16F-5832A3A4C61E}"/>
    <cellStyle name="Normal 10 2 2 4" xfId="272" xr:uid="{00000000-0005-0000-0000-00006C000000}"/>
    <cellStyle name="Normal 10 2 3" xfId="144" xr:uid="{00000000-0005-0000-0000-00006D000000}"/>
    <cellStyle name="Normal 10 2 3 2" xfId="208" xr:uid="{00000000-0005-0000-0000-00006E000000}"/>
    <cellStyle name="Normal 10 2 3 2 2" xfId="334" xr:uid="{A81C775E-267B-4FFA-8323-44BAF6BE89B9}"/>
    <cellStyle name="Normal 10 2 3 3" xfId="287" xr:uid="{00000000-0005-0000-0000-00006F000000}"/>
    <cellStyle name="Normal 10 2 4" xfId="176" xr:uid="{00000000-0005-0000-0000-000070000000}"/>
    <cellStyle name="Normal 10 2 4 2" xfId="257" xr:uid="{00000000-0005-0000-0000-000071000000}"/>
    <cellStyle name="Normal 10 2 5" xfId="239" xr:uid="{00000000-0005-0000-0000-000072000000}"/>
    <cellStyle name="Normal 10 3" xfId="120" xr:uid="{00000000-0005-0000-0000-000073000000}"/>
    <cellStyle name="Normal 10 3 2" xfId="151" xr:uid="{00000000-0005-0000-0000-000074000000}"/>
    <cellStyle name="Normal 10 3 2 2" xfId="215" xr:uid="{00000000-0005-0000-0000-000075000000}"/>
    <cellStyle name="Normal 10 3 2 2 2" xfId="341" xr:uid="{B6BDC848-3A49-4038-8DBB-E0870E5017ED}"/>
    <cellStyle name="Normal 10 3 2 3" xfId="294" xr:uid="{00000000-0005-0000-0000-000076000000}"/>
    <cellStyle name="Normal 10 3 3" xfId="184" xr:uid="{00000000-0005-0000-0000-000077000000}"/>
    <cellStyle name="Normal 10 3 3 2" xfId="311" xr:uid="{7E2ABFD6-4997-49D2-836D-B26FB81FB797}"/>
    <cellStyle name="Normal 10 3 4" xfId="264" xr:uid="{00000000-0005-0000-0000-000078000000}"/>
    <cellStyle name="Normal 10 4" xfId="136" xr:uid="{00000000-0005-0000-0000-000079000000}"/>
    <cellStyle name="Normal 10 4 2" xfId="200" xr:uid="{00000000-0005-0000-0000-00007A000000}"/>
    <cellStyle name="Normal 10 4 2 2" xfId="326" xr:uid="{125C3C70-69D8-4086-AC1D-4A1E64639584}"/>
    <cellStyle name="Normal 10 4 3" xfId="279" xr:uid="{00000000-0005-0000-0000-00007B000000}"/>
    <cellStyle name="Normal 10 5" xfId="168" xr:uid="{00000000-0005-0000-0000-00007C000000}"/>
    <cellStyle name="Normal 10 5 2" xfId="249" xr:uid="{00000000-0005-0000-0000-00007D000000}"/>
    <cellStyle name="Normal 10 6" xfId="231" xr:uid="{00000000-0005-0000-0000-00007E000000}"/>
    <cellStyle name="Normal 11" xfId="103" xr:uid="{00000000-0005-0000-0000-00007F000000}"/>
    <cellStyle name="Normal 11 2" xfId="113" xr:uid="{00000000-0005-0000-0000-000080000000}"/>
    <cellStyle name="Normal 11 2 2" xfId="130" xr:uid="{00000000-0005-0000-0000-000081000000}"/>
    <cellStyle name="Normal 11 2 2 2" xfId="160" xr:uid="{00000000-0005-0000-0000-000082000000}"/>
    <cellStyle name="Normal 11 2 2 2 2" xfId="224" xr:uid="{00000000-0005-0000-0000-000083000000}"/>
    <cellStyle name="Normal 11 2 2 2 2 2" xfId="350" xr:uid="{B1F97805-AC60-42A0-843C-138AC53F989D}"/>
    <cellStyle name="Normal 11 2 2 2 3" xfId="303" xr:uid="{00000000-0005-0000-0000-000084000000}"/>
    <cellStyle name="Normal 11 2 2 3" xfId="194" xr:uid="{00000000-0005-0000-0000-000085000000}"/>
    <cellStyle name="Normal 11 2 2 3 2" xfId="320" xr:uid="{14A96E7C-8D30-4EDD-8736-2F80A58734E0}"/>
    <cellStyle name="Normal 11 2 2 4" xfId="273" xr:uid="{00000000-0005-0000-0000-000086000000}"/>
    <cellStyle name="Normal 11 2 3" xfId="145" xr:uid="{00000000-0005-0000-0000-000087000000}"/>
    <cellStyle name="Normal 11 2 3 2" xfId="209" xr:uid="{00000000-0005-0000-0000-000088000000}"/>
    <cellStyle name="Normal 11 2 3 2 2" xfId="335" xr:uid="{59663A31-E45F-47CE-9E82-3A02027F1D98}"/>
    <cellStyle name="Normal 11 2 3 3" xfId="288" xr:uid="{00000000-0005-0000-0000-000089000000}"/>
    <cellStyle name="Normal 11 2 4" xfId="177" xr:uid="{00000000-0005-0000-0000-00008A000000}"/>
    <cellStyle name="Normal 11 2 4 2" xfId="258" xr:uid="{00000000-0005-0000-0000-00008B000000}"/>
    <cellStyle name="Normal 11 2 5" xfId="240" xr:uid="{00000000-0005-0000-0000-00008C000000}"/>
    <cellStyle name="Normal 11 3" xfId="121" xr:uid="{00000000-0005-0000-0000-00008D000000}"/>
    <cellStyle name="Normal 11 3 2" xfId="152" xr:uid="{00000000-0005-0000-0000-00008E000000}"/>
    <cellStyle name="Normal 11 3 2 2" xfId="216" xr:uid="{00000000-0005-0000-0000-00008F000000}"/>
    <cellStyle name="Normal 11 3 2 2 2" xfId="342" xr:uid="{EB2AC257-CE2C-4A81-ACA4-449E868EBFFD}"/>
    <cellStyle name="Normal 11 3 2 3" xfId="295" xr:uid="{00000000-0005-0000-0000-000090000000}"/>
    <cellStyle name="Normal 11 3 3" xfId="185" xr:uid="{00000000-0005-0000-0000-000091000000}"/>
    <cellStyle name="Normal 11 3 3 2" xfId="312" xr:uid="{6289965D-FD9D-4AC6-8A72-9A367E4F75FC}"/>
    <cellStyle name="Normal 11 3 4" xfId="265" xr:uid="{00000000-0005-0000-0000-000092000000}"/>
    <cellStyle name="Normal 11 4" xfId="137" xr:uid="{00000000-0005-0000-0000-000093000000}"/>
    <cellStyle name="Normal 11 4 2" xfId="201" xr:uid="{00000000-0005-0000-0000-000094000000}"/>
    <cellStyle name="Normal 11 4 2 2" xfId="327" xr:uid="{746B5E0F-CE0A-4064-947F-63450BB73836}"/>
    <cellStyle name="Normal 11 4 3" xfId="280" xr:uid="{00000000-0005-0000-0000-000095000000}"/>
    <cellStyle name="Normal 11 5" xfId="169" xr:uid="{00000000-0005-0000-0000-000096000000}"/>
    <cellStyle name="Normal 11 5 2" xfId="250" xr:uid="{00000000-0005-0000-0000-000097000000}"/>
    <cellStyle name="Normal 11 6" xfId="232" xr:uid="{00000000-0005-0000-0000-000098000000}"/>
    <cellStyle name="Normal 12" xfId="106" xr:uid="{00000000-0005-0000-0000-000099000000}"/>
    <cellStyle name="Normal 12 2" xfId="115" xr:uid="{00000000-0005-0000-0000-00009A000000}"/>
    <cellStyle name="Normal 12 2 2" xfId="132" xr:uid="{00000000-0005-0000-0000-00009B000000}"/>
    <cellStyle name="Normal 12 2 2 2" xfId="162" xr:uid="{00000000-0005-0000-0000-00009C000000}"/>
    <cellStyle name="Normal 12 2 2 2 2" xfId="226" xr:uid="{00000000-0005-0000-0000-00009D000000}"/>
    <cellStyle name="Normal 12 2 2 2 2 2" xfId="352" xr:uid="{F36BBC58-CF2B-4BE6-BD8A-D7E498BC9F70}"/>
    <cellStyle name="Normal 12 2 2 2 3" xfId="305" xr:uid="{00000000-0005-0000-0000-00009E000000}"/>
    <cellStyle name="Normal 12 2 2 3" xfId="196" xr:uid="{00000000-0005-0000-0000-00009F000000}"/>
    <cellStyle name="Normal 12 2 2 3 2" xfId="322" xr:uid="{5C1307EE-1AE2-4C31-B334-730523402FCA}"/>
    <cellStyle name="Normal 12 2 2 4" xfId="275" xr:uid="{00000000-0005-0000-0000-0000A0000000}"/>
    <cellStyle name="Normal 12 2 3" xfId="147" xr:uid="{00000000-0005-0000-0000-0000A1000000}"/>
    <cellStyle name="Normal 12 2 3 2" xfId="211" xr:uid="{00000000-0005-0000-0000-0000A2000000}"/>
    <cellStyle name="Normal 12 2 3 2 2" xfId="337" xr:uid="{BCBFD8D4-A265-40B9-ACDB-01C0A771C368}"/>
    <cellStyle name="Normal 12 2 3 3" xfId="290" xr:uid="{00000000-0005-0000-0000-0000A3000000}"/>
    <cellStyle name="Normal 12 2 4" xfId="179" xr:uid="{00000000-0005-0000-0000-0000A4000000}"/>
    <cellStyle name="Normal 12 2 4 2" xfId="260" xr:uid="{00000000-0005-0000-0000-0000A5000000}"/>
    <cellStyle name="Normal 12 2 5" xfId="242" xr:uid="{00000000-0005-0000-0000-0000A6000000}"/>
    <cellStyle name="Normal 12 3" xfId="123" xr:uid="{00000000-0005-0000-0000-0000A7000000}"/>
    <cellStyle name="Normal 12 3 2" xfId="154" xr:uid="{00000000-0005-0000-0000-0000A8000000}"/>
    <cellStyle name="Normal 12 3 2 2" xfId="218" xr:uid="{00000000-0005-0000-0000-0000A9000000}"/>
    <cellStyle name="Normal 12 3 2 2 2" xfId="344" xr:uid="{C9949902-D9F9-419C-8992-A186B94759DD}"/>
    <cellStyle name="Normal 12 3 2 3" xfId="297" xr:uid="{00000000-0005-0000-0000-0000AA000000}"/>
    <cellStyle name="Normal 12 3 3" xfId="187" xr:uid="{00000000-0005-0000-0000-0000AB000000}"/>
    <cellStyle name="Normal 12 3 3 2" xfId="314" xr:uid="{4821C392-3B0D-4C62-8A74-E06AAC4F64BE}"/>
    <cellStyle name="Normal 12 3 4" xfId="267" xr:uid="{00000000-0005-0000-0000-0000AC000000}"/>
    <cellStyle name="Normal 12 4" xfId="139" xr:uid="{00000000-0005-0000-0000-0000AD000000}"/>
    <cellStyle name="Normal 12 4 2" xfId="203" xr:uid="{00000000-0005-0000-0000-0000AE000000}"/>
    <cellStyle name="Normal 12 4 2 2" xfId="329" xr:uid="{BE22D4FB-BA9C-40FC-8877-8541314164AE}"/>
    <cellStyle name="Normal 12 4 3" xfId="282" xr:uid="{00000000-0005-0000-0000-0000AF000000}"/>
    <cellStyle name="Normal 12 5" xfId="171" xr:uid="{00000000-0005-0000-0000-0000B0000000}"/>
    <cellStyle name="Normal 12 5 2" xfId="252" xr:uid="{00000000-0005-0000-0000-0000B1000000}"/>
    <cellStyle name="Normal 12 6" xfId="234" xr:uid="{00000000-0005-0000-0000-0000B2000000}"/>
    <cellStyle name="Normal 13" xfId="108" xr:uid="{00000000-0005-0000-0000-0000B3000000}"/>
    <cellStyle name="Normal 13 2" xfId="124" xr:uid="{00000000-0005-0000-0000-0000B4000000}"/>
    <cellStyle name="Normal 13 2 2" xfId="155" xr:uid="{00000000-0005-0000-0000-0000B5000000}"/>
    <cellStyle name="Normal 13 2 2 2" xfId="219" xr:uid="{00000000-0005-0000-0000-0000B6000000}"/>
    <cellStyle name="Normal 13 2 2 2 2" xfId="345" xr:uid="{B38B0EDF-FF44-4DBE-8237-2DBDC8E60098}"/>
    <cellStyle name="Normal 13 2 2 3" xfId="298" xr:uid="{00000000-0005-0000-0000-0000B7000000}"/>
    <cellStyle name="Normal 13 2 3" xfId="188" xr:uid="{00000000-0005-0000-0000-0000B8000000}"/>
    <cellStyle name="Normal 13 2 3 2" xfId="315" xr:uid="{3D1D9808-532C-494D-965C-2F24B291E34B}"/>
    <cellStyle name="Normal 13 2 4" xfId="268" xr:uid="{00000000-0005-0000-0000-0000B9000000}"/>
    <cellStyle name="Normal 13 3" xfId="140" xr:uid="{00000000-0005-0000-0000-0000BA000000}"/>
    <cellStyle name="Normal 13 3 2" xfId="204" xr:uid="{00000000-0005-0000-0000-0000BB000000}"/>
    <cellStyle name="Normal 13 3 2 2" xfId="330" xr:uid="{C25EFDC0-5267-4275-BCE8-EFEB871F6E39}"/>
    <cellStyle name="Normal 13 3 3" xfId="283" xr:uid="{00000000-0005-0000-0000-0000BC000000}"/>
    <cellStyle name="Normal 13 4" xfId="172" xr:uid="{00000000-0005-0000-0000-0000BD000000}"/>
    <cellStyle name="Normal 13 4 2" xfId="253" xr:uid="{00000000-0005-0000-0000-0000BE000000}"/>
    <cellStyle name="Normal 13 5" xfId="235" xr:uid="{00000000-0005-0000-0000-0000BF000000}"/>
    <cellStyle name="Normal 14" xfId="84" xr:uid="{00000000-0005-0000-0000-0000C0000000}"/>
    <cellStyle name="Normal 14 2" xfId="125" xr:uid="{00000000-0005-0000-0000-0000C1000000}"/>
    <cellStyle name="Normal 14 2 2" xfId="189" xr:uid="{00000000-0005-0000-0000-0000C2000000}"/>
    <cellStyle name="Normal 14 3" xfId="245" xr:uid="{00000000-0005-0000-0000-0000C3000000}"/>
    <cellStyle name="Normal 15" xfId="116" xr:uid="{00000000-0005-0000-0000-0000C4000000}"/>
    <cellStyle name="Normal 15 2" xfId="180" xr:uid="{00000000-0005-0000-0000-0000C5000000}"/>
    <cellStyle name="Normal 15 3" xfId="243" xr:uid="{00000000-0005-0000-0000-0000C6000000}"/>
    <cellStyle name="Normal 16" xfId="244" xr:uid="{00000000-0005-0000-0000-0000C7000000}"/>
    <cellStyle name="Normal 2" xfId="65" xr:uid="{00000000-0005-0000-0000-0000C8000000}"/>
    <cellStyle name="Normal 2 2" xfId="66" xr:uid="{00000000-0005-0000-0000-0000C9000000}"/>
    <cellStyle name="Normal 2 2 2" xfId="67" xr:uid="{00000000-0005-0000-0000-0000CA000000}"/>
    <cellStyle name="Normal 2 3" xfId="93" xr:uid="{00000000-0005-0000-0000-0000CB000000}"/>
    <cellStyle name="Normal 3" xfId="68" xr:uid="{00000000-0005-0000-0000-0000CC000000}"/>
    <cellStyle name="Normal 3 2" xfId="69" xr:uid="{00000000-0005-0000-0000-0000CD000000}"/>
    <cellStyle name="Normal 3 2 2" xfId="307" xr:uid="{EB05E12A-7F38-488C-8733-8D64403BE85A}"/>
    <cellStyle name="Normal 3 3" xfId="70" xr:uid="{00000000-0005-0000-0000-0000CE000000}"/>
    <cellStyle name="Normal 3 4" xfId="97" xr:uid="{00000000-0005-0000-0000-0000CF000000}"/>
    <cellStyle name="Normal 4" xfId="71" xr:uid="{00000000-0005-0000-0000-0000D0000000}"/>
    <cellStyle name="Normal 4 2" xfId="72" xr:uid="{00000000-0005-0000-0000-0000D1000000}"/>
    <cellStyle name="Normal 4 3" xfId="98" xr:uid="{00000000-0005-0000-0000-0000D2000000}"/>
    <cellStyle name="Normal 4 4" xfId="107" xr:uid="{00000000-0005-0000-0000-0000D3000000}"/>
    <cellStyle name="Normal 5" xfId="86" xr:uid="{00000000-0005-0000-0000-0000D4000000}"/>
    <cellStyle name="Normal 5 2" xfId="109" xr:uid="{00000000-0005-0000-0000-0000D5000000}"/>
    <cellStyle name="Normal 5 2 2" xfId="126" xr:uid="{00000000-0005-0000-0000-0000D6000000}"/>
    <cellStyle name="Normal 5 2 2 2" xfId="156" xr:uid="{00000000-0005-0000-0000-0000D7000000}"/>
    <cellStyle name="Normal 5 2 2 2 2" xfId="220" xr:uid="{00000000-0005-0000-0000-0000D8000000}"/>
    <cellStyle name="Normal 5 2 2 2 2 2" xfId="346" xr:uid="{B5E89A16-0709-472F-A877-31F343975436}"/>
    <cellStyle name="Normal 5 2 2 2 3" xfId="299" xr:uid="{00000000-0005-0000-0000-0000D9000000}"/>
    <cellStyle name="Normal 5 2 2 3" xfId="190" xr:uid="{00000000-0005-0000-0000-0000DA000000}"/>
    <cellStyle name="Normal 5 2 2 3 2" xfId="316" xr:uid="{520F0824-DC77-4EAB-A466-1A6D56865840}"/>
    <cellStyle name="Normal 5 2 2 4" xfId="269" xr:uid="{00000000-0005-0000-0000-0000DB000000}"/>
    <cellStyle name="Normal 5 2 3" xfId="141" xr:uid="{00000000-0005-0000-0000-0000DC000000}"/>
    <cellStyle name="Normal 5 2 3 2" xfId="205" xr:uid="{00000000-0005-0000-0000-0000DD000000}"/>
    <cellStyle name="Normal 5 2 3 2 2" xfId="331" xr:uid="{5EEEAA31-3BE1-4F69-82D1-E1FEEA127030}"/>
    <cellStyle name="Normal 5 2 3 3" xfId="284" xr:uid="{00000000-0005-0000-0000-0000DE000000}"/>
    <cellStyle name="Normal 5 2 4" xfId="173" xr:uid="{00000000-0005-0000-0000-0000DF000000}"/>
    <cellStyle name="Normal 5 2 4 2" xfId="254" xr:uid="{00000000-0005-0000-0000-0000E0000000}"/>
    <cellStyle name="Normal 5 2 5" xfId="236" xr:uid="{00000000-0005-0000-0000-0000E1000000}"/>
    <cellStyle name="Normal 5 3" xfId="117" xr:uid="{00000000-0005-0000-0000-0000E2000000}"/>
    <cellStyle name="Normal 5 3 2" xfId="148" xr:uid="{00000000-0005-0000-0000-0000E3000000}"/>
    <cellStyle name="Normal 5 3 2 2" xfId="212" xr:uid="{00000000-0005-0000-0000-0000E4000000}"/>
    <cellStyle name="Normal 5 3 2 2 2" xfId="338" xr:uid="{2B9F678C-63C5-47FA-A616-51C30DB738DD}"/>
    <cellStyle name="Normal 5 3 2 3" xfId="291" xr:uid="{00000000-0005-0000-0000-0000E5000000}"/>
    <cellStyle name="Normal 5 3 3" xfId="181" xr:uid="{00000000-0005-0000-0000-0000E6000000}"/>
    <cellStyle name="Normal 5 3 3 2" xfId="308" xr:uid="{23561BCC-D68B-462E-825B-D24F760ECE27}"/>
    <cellStyle name="Normal 5 3 4" xfId="261" xr:uid="{00000000-0005-0000-0000-0000E7000000}"/>
    <cellStyle name="Normal 5 4" xfId="133" xr:uid="{00000000-0005-0000-0000-0000E8000000}"/>
    <cellStyle name="Normal 5 4 2" xfId="197" xr:uid="{00000000-0005-0000-0000-0000E9000000}"/>
    <cellStyle name="Normal 5 4 2 2" xfId="323" xr:uid="{C68BD89F-D1FC-4334-A914-12C492CEE7AB}"/>
    <cellStyle name="Normal 5 4 3" xfId="276" xr:uid="{00000000-0005-0000-0000-0000EA000000}"/>
    <cellStyle name="Normal 5 5" xfId="165" xr:uid="{00000000-0005-0000-0000-0000EB000000}"/>
    <cellStyle name="Normal 5 5 2" xfId="246" xr:uid="{00000000-0005-0000-0000-0000EC000000}"/>
    <cellStyle name="Normal 5 6" xfId="228" xr:uid="{00000000-0005-0000-0000-0000ED000000}"/>
    <cellStyle name="Normal 6" xfId="87" xr:uid="{00000000-0005-0000-0000-0000EE000000}"/>
    <cellStyle name="Normal 7" xfId="88" xr:uid="{00000000-0005-0000-0000-0000EF000000}"/>
    <cellStyle name="Normal 7 2" xfId="163" xr:uid="{00000000-0005-0000-0000-0000F0000000}"/>
    <cellStyle name="Normal 7 2 2" xfId="227" xr:uid="{00000000-0005-0000-0000-0000F1000000}"/>
    <cellStyle name="Normal 7 2 2 2" xfId="353" xr:uid="{E3A43157-4D8E-468E-83E8-7942671B7D9E}"/>
    <cellStyle name="Normal 7 2 3" xfId="306" xr:uid="{00000000-0005-0000-0000-0000F2000000}"/>
    <cellStyle name="Normal 8" xfId="100" xr:uid="{00000000-0005-0000-0000-0000F3000000}"/>
    <cellStyle name="Normal 8 2" xfId="110" xr:uid="{00000000-0005-0000-0000-0000F4000000}"/>
    <cellStyle name="Normal 8 2 2" xfId="127" xr:uid="{00000000-0005-0000-0000-0000F5000000}"/>
    <cellStyle name="Normal 8 2 2 2" xfId="157" xr:uid="{00000000-0005-0000-0000-0000F6000000}"/>
    <cellStyle name="Normal 8 2 2 2 2" xfId="221" xr:uid="{00000000-0005-0000-0000-0000F7000000}"/>
    <cellStyle name="Normal 8 2 2 2 2 2" xfId="347" xr:uid="{40AC757E-50DD-4AFF-B3A4-2CEB92356C08}"/>
    <cellStyle name="Normal 8 2 2 2 3" xfId="300" xr:uid="{00000000-0005-0000-0000-0000F8000000}"/>
    <cellStyle name="Normal 8 2 2 3" xfId="191" xr:uid="{00000000-0005-0000-0000-0000F9000000}"/>
    <cellStyle name="Normal 8 2 2 3 2" xfId="317" xr:uid="{54D191C3-FB4A-4CBA-B5D1-D7DC07326034}"/>
    <cellStyle name="Normal 8 2 2 4" xfId="270" xr:uid="{00000000-0005-0000-0000-0000FA000000}"/>
    <cellStyle name="Normal 8 2 3" xfId="142" xr:uid="{00000000-0005-0000-0000-0000FB000000}"/>
    <cellStyle name="Normal 8 2 3 2" xfId="206" xr:uid="{00000000-0005-0000-0000-0000FC000000}"/>
    <cellStyle name="Normal 8 2 3 2 2" xfId="332" xr:uid="{1CCCCCE1-4751-40C9-997C-4DA7A0B754A5}"/>
    <cellStyle name="Normal 8 2 3 3" xfId="285" xr:uid="{00000000-0005-0000-0000-0000FD000000}"/>
    <cellStyle name="Normal 8 2 4" xfId="174" xr:uid="{00000000-0005-0000-0000-0000FE000000}"/>
    <cellStyle name="Normal 8 2 4 2" xfId="255" xr:uid="{00000000-0005-0000-0000-0000FF000000}"/>
    <cellStyle name="Normal 8 2 5" xfId="237" xr:uid="{00000000-0005-0000-0000-000000010000}"/>
    <cellStyle name="Normal 8 3" xfId="118" xr:uid="{00000000-0005-0000-0000-000001010000}"/>
    <cellStyle name="Normal 8 3 2" xfId="149" xr:uid="{00000000-0005-0000-0000-000002010000}"/>
    <cellStyle name="Normal 8 3 2 2" xfId="213" xr:uid="{00000000-0005-0000-0000-000003010000}"/>
    <cellStyle name="Normal 8 3 2 2 2" xfId="339" xr:uid="{D43FF061-A925-41FC-B6E7-B62696CF1AE0}"/>
    <cellStyle name="Normal 8 3 2 3" xfId="292" xr:uid="{00000000-0005-0000-0000-000004010000}"/>
    <cellStyle name="Normal 8 3 3" xfId="182" xr:uid="{00000000-0005-0000-0000-000005010000}"/>
    <cellStyle name="Normal 8 3 3 2" xfId="309" xr:uid="{9D985B3C-93C0-4505-B594-95CA943B48C4}"/>
    <cellStyle name="Normal 8 3 4" xfId="262" xr:uid="{00000000-0005-0000-0000-000006010000}"/>
    <cellStyle name="Normal 8 4" xfId="134" xr:uid="{00000000-0005-0000-0000-000007010000}"/>
    <cellStyle name="Normal 8 4 2" xfId="198" xr:uid="{00000000-0005-0000-0000-000008010000}"/>
    <cellStyle name="Normal 8 4 2 2" xfId="324" xr:uid="{D426AD50-EA5E-464E-A470-67D40E3E1A4D}"/>
    <cellStyle name="Normal 8 4 3" xfId="277" xr:uid="{00000000-0005-0000-0000-000009010000}"/>
    <cellStyle name="Normal 8 5" xfId="166" xr:uid="{00000000-0005-0000-0000-00000A010000}"/>
    <cellStyle name="Normal 8 5 2" xfId="247" xr:uid="{00000000-0005-0000-0000-00000B010000}"/>
    <cellStyle name="Normal 8 6" xfId="229" xr:uid="{00000000-0005-0000-0000-00000C010000}"/>
    <cellStyle name="Normal 9" xfId="101" xr:uid="{00000000-0005-0000-0000-00000D010000}"/>
    <cellStyle name="Normal 9 2" xfId="111" xr:uid="{00000000-0005-0000-0000-00000E010000}"/>
    <cellStyle name="Normal 9 2 2" xfId="128" xr:uid="{00000000-0005-0000-0000-00000F010000}"/>
    <cellStyle name="Normal 9 2 2 2" xfId="158" xr:uid="{00000000-0005-0000-0000-000010010000}"/>
    <cellStyle name="Normal 9 2 2 2 2" xfId="222" xr:uid="{00000000-0005-0000-0000-000011010000}"/>
    <cellStyle name="Normal 9 2 2 2 2 2" xfId="348" xr:uid="{F5F1DDD8-CCA5-463E-A2AC-2E12FF86F6E0}"/>
    <cellStyle name="Normal 9 2 2 2 3" xfId="301" xr:uid="{00000000-0005-0000-0000-000012010000}"/>
    <cellStyle name="Normal 9 2 2 3" xfId="192" xr:uid="{00000000-0005-0000-0000-000013010000}"/>
    <cellStyle name="Normal 9 2 2 3 2" xfId="318" xr:uid="{D3FD972B-3E22-498C-B6E3-1739020B0F6D}"/>
    <cellStyle name="Normal 9 2 2 4" xfId="271" xr:uid="{00000000-0005-0000-0000-000014010000}"/>
    <cellStyle name="Normal 9 2 3" xfId="143" xr:uid="{00000000-0005-0000-0000-000015010000}"/>
    <cellStyle name="Normal 9 2 3 2" xfId="207" xr:uid="{00000000-0005-0000-0000-000016010000}"/>
    <cellStyle name="Normal 9 2 3 2 2" xfId="333" xr:uid="{AA7DFEDB-93FD-400B-8A15-2F2D7A205E9F}"/>
    <cellStyle name="Normal 9 2 3 3" xfId="286" xr:uid="{00000000-0005-0000-0000-000017010000}"/>
    <cellStyle name="Normal 9 2 4" xfId="175" xr:uid="{00000000-0005-0000-0000-000018010000}"/>
    <cellStyle name="Normal 9 2 4 2" xfId="256" xr:uid="{00000000-0005-0000-0000-000019010000}"/>
    <cellStyle name="Normal 9 2 5" xfId="238" xr:uid="{00000000-0005-0000-0000-00001A010000}"/>
    <cellStyle name="Normal 9 3" xfId="119" xr:uid="{00000000-0005-0000-0000-00001B010000}"/>
    <cellStyle name="Normal 9 3 2" xfId="150" xr:uid="{00000000-0005-0000-0000-00001C010000}"/>
    <cellStyle name="Normal 9 3 2 2" xfId="214" xr:uid="{00000000-0005-0000-0000-00001D010000}"/>
    <cellStyle name="Normal 9 3 2 2 2" xfId="340" xr:uid="{1A8FDCB4-90F4-4F38-9AAC-9BDC7210FC5C}"/>
    <cellStyle name="Normal 9 3 2 3" xfId="293" xr:uid="{00000000-0005-0000-0000-00001E010000}"/>
    <cellStyle name="Normal 9 3 3" xfId="183" xr:uid="{00000000-0005-0000-0000-00001F010000}"/>
    <cellStyle name="Normal 9 3 3 2" xfId="310" xr:uid="{67C2D0AE-EC41-4935-B5DA-85D136A2D73C}"/>
    <cellStyle name="Normal 9 3 4" xfId="263" xr:uid="{00000000-0005-0000-0000-000020010000}"/>
    <cellStyle name="Normal 9 4" xfId="135" xr:uid="{00000000-0005-0000-0000-000021010000}"/>
    <cellStyle name="Normal 9 4 2" xfId="199" xr:uid="{00000000-0005-0000-0000-000022010000}"/>
    <cellStyle name="Normal 9 4 2 2" xfId="325" xr:uid="{9347E7F2-CC09-47E0-9992-E4E6D224FF56}"/>
    <cellStyle name="Normal 9 4 3" xfId="278" xr:uid="{00000000-0005-0000-0000-000023010000}"/>
    <cellStyle name="Normal 9 5" xfId="167" xr:uid="{00000000-0005-0000-0000-000024010000}"/>
    <cellStyle name="Normal 9 5 2" xfId="248" xr:uid="{00000000-0005-0000-0000-000025010000}"/>
    <cellStyle name="Normal 9 6" xfId="230" xr:uid="{00000000-0005-0000-0000-000026010000}"/>
    <cellStyle name="Note 2" xfId="73" xr:uid="{00000000-0005-0000-0000-000027010000}"/>
    <cellStyle name="Output 2" xfId="74" xr:uid="{00000000-0005-0000-0000-000028010000}"/>
    <cellStyle name="Percent" xfId="75" builtinId="5"/>
    <cellStyle name="Percent 2" xfId="76" xr:uid="{00000000-0005-0000-0000-00002A010000}"/>
    <cellStyle name="Percent 2 2" xfId="77" xr:uid="{00000000-0005-0000-0000-00002B010000}"/>
    <cellStyle name="Percent 2 2 2" xfId="78" xr:uid="{00000000-0005-0000-0000-00002C010000}"/>
    <cellStyle name="Percent 2 3" xfId="95" xr:uid="{00000000-0005-0000-0000-00002D010000}"/>
    <cellStyle name="Percent 3" xfId="79" xr:uid="{00000000-0005-0000-0000-00002E010000}"/>
    <cellStyle name="Percent 3 2" xfId="80" xr:uid="{00000000-0005-0000-0000-00002F010000}"/>
    <cellStyle name="Percent 4" xfId="94" xr:uid="{00000000-0005-0000-0000-000030010000}"/>
    <cellStyle name="Title 2" xfId="81" xr:uid="{00000000-0005-0000-0000-000031010000}"/>
    <cellStyle name="Total 2" xfId="82" xr:uid="{00000000-0005-0000-0000-000032010000}"/>
    <cellStyle name="Warning Text 2" xfId="83" xr:uid="{00000000-0005-0000-0000-00003301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952500</xdr:colOff>
      <xdr:row>53</xdr:row>
      <xdr:rowOff>107156</xdr:rowOff>
    </xdr:from>
    <xdr:to>
      <xdr:col>11</xdr:col>
      <xdr:colOff>257175</xdr:colOff>
      <xdr:row>59</xdr:row>
      <xdr:rowOff>35718</xdr:rowOff>
    </xdr:to>
    <xdr:pic>
      <xdr:nvPicPr>
        <xdr:cNvPr id="10" name="Picture 4">
          <a:extLst>
            <a:ext uri="{FF2B5EF4-FFF2-40B4-BE49-F238E27FC236}">
              <a16:creationId xmlns:a16="http://schemas.microsoft.com/office/drawing/2014/main" id="{6AECAEE5-F939-47B7-A6C3-6E7644D5C9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32" t="33604" r="54091" b="1823"/>
        <a:stretch>
          <a:fillRect/>
        </a:stretch>
      </xdr:blipFill>
      <xdr:spPr bwMode="auto">
        <a:xfrm>
          <a:off x="7262813" y="19395281"/>
          <a:ext cx="1390650" cy="928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273844</xdr:colOff>
      <xdr:row>53</xdr:row>
      <xdr:rowOff>119062</xdr:rowOff>
    </xdr:from>
    <xdr:to>
      <xdr:col>8</xdr:col>
      <xdr:colOff>497681</xdr:colOff>
      <xdr:row>58</xdr:row>
      <xdr:rowOff>23812</xdr:rowOff>
    </xdr:to>
    <xdr:pic>
      <xdr:nvPicPr>
        <xdr:cNvPr id="11" name="Picture 3">
          <a:extLst>
            <a:ext uri="{FF2B5EF4-FFF2-40B4-BE49-F238E27FC236}">
              <a16:creationId xmlns:a16="http://schemas.microsoft.com/office/drawing/2014/main" id="{5980257B-607C-4634-8B31-7795CCFB82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7710" t="72992" r="9422" b="10931"/>
        <a:stretch>
          <a:fillRect/>
        </a:stretch>
      </xdr:blipFill>
      <xdr:spPr bwMode="auto">
        <a:xfrm>
          <a:off x="4095750" y="19407187"/>
          <a:ext cx="3140869" cy="73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52</xdr:row>
      <xdr:rowOff>0</xdr:rowOff>
    </xdr:from>
    <xdr:to>
      <xdr:col>15</xdr:col>
      <xdr:colOff>770467</xdr:colOff>
      <xdr:row>76</xdr:row>
      <xdr:rowOff>138641</xdr:rowOff>
    </xdr:to>
    <xdr:pic>
      <xdr:nvPicPr>
        <xdr:cNvPr id="12" name="Picture 3">
          <a:extLst>
            <a:ext uri="{FF2B5EF4-FFF2-40B4-BE49-F238E27FC236}">
              <a16:creationId xmlns:a16="http://schemas.microsoft.com/office/drawing/2014/main" id="{E639D632-C245-4B4E-A9FC-865637276A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4121" b="26326"/>
        <a:stretch>
          <a:fillRect/>
        </a:stretch>
      </xdr:blipFill>
      <xdr:spPr bwMode="auto">
        <a:xfrm>
          <a:off x="8501063" y="19121438"/>
          <a:ext cx="4580467" cy="4139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duperre@cmpco.com" TargetMode="External"/><Relationship Id="rId2" Type="http://schemas.openxmlformats.org/officeDocument/2006/relationships/hyperlink" Target="mailto:jcough@cmpco.com" TargetMode="External"/><Relationship Id="rId1" Type="http://schemas.openxmlformats.org/officeDocument/2006/relationships/hyperlink" Target="mailto:Daniel.Begin@cmpco.com" TargetMode="External"/><Relationship Id="rId5" Type="http://schemas.openxmlformats.org/officeDocument/2006/relationships/printerSettings" Target="../printerSettings/printerSettings1.bin"/><Relationship Id="rId4" Type="http://schemas.openxmlformats.org/officeDocument/2006/relationships/hyperlink" Target="mailto:katherine.dumont@cmpc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154"/>
  <sheetViews>
    <sheetView tabSelected="1" zoomScale="70" zoomScaleNormal="70" zoomScaleSheetLayoutView="75" workbookViewId="0">
      <selection activeCell="D4" sqref="D4"/>
    </sheetView>
  </sheetViews>
  <sheetFormatPr defaultColWidth="9.1796875" defaultRowHeight="13" x14ac:dyDescent="0.3"/>
  <cols>
    <col min="1" max="1" width="4.81640625" style="1" customWidth="1"/>
    <col min="2" max="2" width="40" style="2" customWidth="1"/>
    <col min="3" max="3" width="20.81640625" style="2" customWidth="1"/>
    <col min="4" max="4" width="17.1796875" style="2" customWidth="1"/>
    <col min="5" max="5" width="18.1796875" style="2" customWidth="1"/>
    <col min="6" max="6" width="15.453125" style="2" customWidth="1"/>
    <col min="7" max="7" width="17.1796875" style="2" customWidth="1"/>
    <col min="8" max="8" width="36.81640625" style="2" customWidth="1"/>
    <col min="9" max="9" width="7.81640625" style="2" customWidth="1"/>
    <col min="10" max="10" width="16.81640625" style="2" customWidth="1"/>
    <col min="11" max="11" width="12.1796875" style="2" customWidth="1"/>
    <col min="12" max="13" width="16.81640625" style="2" customWidth="1"/>
    <col min="14" max="14" width="9.453125" style="2" customWidth="1"/>
    <col min="15" max="15" width="16.81640625" style="2" customWidth="1"/>
    <col min="16" max="16" width="6.1796875" style="2" customWidth="1"/>
    <col min="17" max="17" width="12.453125" style="2" customWidth="1"/>
    <col min="18" max="16384" width="9.1796875" style="2"/>
  </cols>
  <sheetData>
    <row r="1" spans="1:58" ht="12.75" customHeight="1" x14ac:dyDescent="0.3">
      <c r="B1" s="1" t="s">
        <v>0</v>
      </c>
      <c r="C1" s="1"/>
      <c r="D1" s="1"/>
      <c r="E1" s="1"/>
      <c r="F1" s="1"/>
      <c r="G1" s="1"/>
      <c r="H1" s="1"/>
      <c r="I1" s="2" t="s">
        <v>1</v>
      </c>
      <c r="AZ1" s="392" t="s">
        <v>553</v>
      </c>
      <c r="BA1" s="392"/>
      <c r="BB1" s="392"/>
      <c r="BC1" s="392"/>
      <c r="BD1" s="392"/>
      <c r="BE1" s="392"/>
      <c r="BF1" s="392"/>
    </row>
    <row r="2" spans="1:58" ht="29.25" customHeight="1" thickBot="1" x14ac:dyDescent="0.35">
      <c r="B2" s="459" t="s">
        <v>498</v>
      </c>
      <c r="C2" s="459"/>
      <c r="D2" s="459"/>
      <c r="E2" s="459"/>
      <c r="F2" s="459"/>
      <c r="G2" s="459"/>
      <c r="H2" s="459"/>
      <c r="AZ2" s="392"/>
      <c r="BA2" s="392"/>
      <c r="BB2" s="392"/>
      <c r="BC2" s="392"/>
      <c r="BD2" s="392"/>
      <c r="BE2" s="392"/>
      <c r="BF2" s="392"/>
    </row>
    <row r="3" spans="1:58" ht="18" customHeight="1" thickBot="1" x14ac:dyDescent="0.35">
      <c r="B3" s="1" t="s">
        <v>2</v>
      </c>
      <c r="C3" s="1" t="s">
        <v>3</v>
      </c>
      <c r="G3" s="191" t="s">
        <v>323</v>
      </c>
      <c r="H3" s="101">
        <f ca="1">TODAY()</f>
        <v>45260</v>
      </c>
      <c r="AZ3" s="392"/>
      <c r="BA3" s="392"/>
      <c r="BB3" s="392"/>
      <c r="BC3" s="392"/>
      <c r="BD3" s="392"/>
      <c r="BE3" s="392"/>
      <c r="BF3" s="392"/>
    </row>
    <row r="4" spans="1:58" ht="27" customHeight="1" thickBot="1" x14ac:dyDescent="0.35">
      <c r="B4" s="1" t="s">
        <v>4</v>
      </c>
      <c r="C4" s="2" t="s">
        <v>5</v>
      </c>
      <c r="D4" s="102" t="s">
        <v>6</v>
      </c>
      <c r="E4" s="37"/>
      <c r="F4" s="37"/>
      <c r="G4" s="37"/>
      <c r="AZ4" s="392"/>
      <c r="BA4" s="392"/>
      <c r="BB4" s="392"/>
      <c r="BC4" s="392"/>
      <c r="BD4" s="392"/>
      <c r="BE4" s="392"/>
      <c r="BF4" s="392"/>
    </row>
    <row r="5" spans="1:58" ht="18" customHeight="1" thickBot="1" x14ac:dyDescent="0.35">
      <c r="C5" s="2" t="s">
        <v>7</v>
      </c>
      <c r="D5" s="475">
        <f>VLOOKUP(D4,F78:I86,2)</f>
        <v>2076291489</v>
      </c>
      <c r="E5" s="476"/>
      <c r="F5" s="477"/>
      <c r="J5" s="2" t="s">
        <v>1</v>
      </c>
      <c r="AZ5" s="392"/>
      <c r="BA5" s="392"/>
      <c r="BB5" s="392"/>
      <c r="BC5" s="392"/>
      <c r="BD5" s="392"/>
      <c r="BE5" s="392"/>
    </row>
    <row r="6" spans="1:58" ht="18" customHeight="1" thickBot="1" x14ac:dyDescent="0.35">
      <c r="C6" s="2" t="s">
        <v>8</v>
      </c>
      <c r="D6" s="460" t="str">
        <f>VLOOKUP(D4,F78:I86,4)</f>
        <v>jcough@cmpco.com</v>
      </c>
      <c r="E6" s="460"/>
      <c r="F6" s="460"/>
      <c r="AZ6" s="392"/>
      <c r="BA6" s="392"/>
      <c r="BB6" s="392"/>
      <c r="BC6" s="392"/>
      <c r="BD6" s="392"/>
      <c r="BE6" s="392"/>
    </row>
    <row r="7" spans="1:58" ht="18" customHeight="1" thickBot="1" x14ac:dyDescent="0.35">
      <c r="AZ7" s="392"/>
      <c r="BA7" s="392"/>
      <c r="BB7" s="392"/>
      <c r="BC7" s="392"/>
      <c r="BD7" s="392"/>
      <c r="BE7" s="392"/>
    </row>
    <row r="8" spans="1:58" ht="22.5" customHeight="1" thickBot="1" x14ac:dyDescent="0.3">
      <c r="A8" s="3" t="s">
        <v>9</v>
      </c>
      <c r="B8" s="465" t="s">
        <v>10</v>
      </c>
      <c r="C8" s="466" t="s">
        <v>1</v>
      </c>
      <c r="D8" s="466"/>
      <c r="E8" s="466"/>
      <c r="F8" s="466"/>
      <c r="G8" s="466"/>
      <c r="H8" s="467"/>
      <c r="AZ8" s="392"/>
      <c r="BA8" s="392"/>
      <c r="BB8" s="392"/>
      <c r="BC8" s="392"/>
      <c r="BD8" s="392"/>
      <c r="BE8" s="392"/>
    </row>
    <row r="9" spans="1:58" ht="24" customHeight="1" x14ac:dyDescent="0.3">
      <c r="B9" s="430" t="s">
        <v>11</v>
      </c>
      <c r="C9" s="450" t="s">
        <v>1</v>
      </c>
      <c r="D9" s="431" t="s">
        <v>168</v>
      </c>
      <c r="E9" s="432" t="s">
        <v>1</v>
      </c>
      <c r="F9" s="433"/>
      <c r="G9" s="431" t="s">
        <v>169</v>
      </c>
      <c r="H9" s="434" t="s">
        <v>88</v>
      </c>
    </row>
    <row r="10" spans="1:58" ht="24" customHeight="1" x14ac:dyDescent="0.3">
      <c r="B10" s="327" t="s">
        <v>554</v>
      </c>
      <c r="C10" s="468" t="s">
        <v>1</v>
      </c>
      <c r="D10" s="469"/>
      <c r="E10" s="469"/>
      <c r="F10" s="469"/>
      <c r="G10" s="469"/>
      <c r="H10" s="470"/>
    </row>
    <row r="11" spans="1:58" ht="24" customHeight="1" x14ac:dyDescent="0.3">
      <c r="B11" s="327" t="s">
        <v>556</v>
      </c>
      <c r="C11" s="416" t="s">
        <v>1</v>
      </c>
      <c r="D11" s="329" t="s">
        <v>126</v>
      </c>
      <c r="E11" s="393"/>
      <c r="F11" s="398" t="s">
        <v>231</v>
      </c>
      <c r="G11" s="394">
        <v>421</v>
      </c>
      <c r="H11" s="396" t="str">
        <f>VLOOKUP(G11,REV_CLASS_COM_IND,2)</f>
        <v>Commercial</v>
      </c>
      <c r="K11" s="2" t="s">
        <v>1</v>
      </c>
    </row>
    <row r="12" spans="1:58" ht="26" x14ac:dyDescent="0.3">
      <c r="B12" s="327" t="s">
        <v>555</v>
      </c>
      <c r="C12" s="478" t="s">
        <v>1</v>
      </c>
      <c r="D12" s="479"/>
      <c r="E12" s="480"/>
      <c r="F12" s="397" t="s">
        <v>127</v>
      </c>
      <c r="G12" s="395" t="s">
        <v>473</v>
      </c>
      <c r="H12" s="396" t="str">
        <f>VLOOKUP(G12,rate_lookup,2)</f>
        <v xml:space="preserve">     21-400 KW</v>
      </c>
    </row>
    <row r="13" spans="1:58" ht="24" customHeight="1" x14ac:dyDescent="0.3">
      <c r="B13" s="327" t="s">
        <v>64</v>
      </c>
      <c r="C13" s="452" t="s">
        <v>1</v>
      </c>
      <c r="D13" s="453"/>
      <c r="E13" s="453"/>
      <c r="F13" s="453"/>
      <c r="G13" s="453"/>
      <c r="H13" s="454"/>
      <c r="J13" s="2" t="s">
        <v>1</v>
      </c>
      <c r="K13" s="2" t="s">
        <v>1</v>
      </c>
    </row>
    <row r="14" spans="1:58" ht="24" customHeight="1" x14ac:dyDescent="0.3">
      <c r="B14" s="327" t="s">
        <v>557</v>
      </c>
      <c r="C14" s="399" t="s">
        <v>13</v>
      </c>
      <c r="D14" s="417" t="s">
        <v>1</v>
      </c>
      <c r="E14" s="401" t="s">
        <v>14</v>
      </c>
      <c r="F14" s="400" t="s">
        <v>1</v>
      </c>
      <c r="G14" s="401" t="s">
        <v>15</v>
      </c>
      <c r="H14" s="402" t="s">
        <v>1</v>
      </c>
    </row>
    <row r="15" spans="1:58" ht="24" customHeight="1" x14ac:dyDescent="0.3">
      <c r="B15" s="327" t="s">
        <v>66</v>
      </c>
      <c r="C15" s="473" t="s">
        <v>1</v>
      </c>
      <c r="D15" s="473"/>
      <c r="E15" s="473"/>
      <c r="F15" s="473"/>
      <c r="G15" s="473"/>
      <c r="H15" s="474"/>
    </row>
    <row r="16" spans="1:58" ht="24" customHeight="1" x14ac:dyDescent="0.3">
      <c r="B16" s="327" t="s">
        <v>557</v>
      </c>
      <c r="C16" s="401" t="s">
        <v>13</v>
      </c>
      <c r="D16" s="400" t="s">
        <v>1</v>
      </c>
      <c r="E16" s="401" t="s">
        <v>14</v>
      </c>
      <c r="F16" s="400" t="s">
        <v>1</v>
      </c>
      <c r="G16" s="401" t="s">
        <v>15</v>
      </c>
      <c r="H16" s="403" t="s">
        <v>1</v>
      </c>
    </row>
    <row r="17" spans="1:17" ht="24" customHeight="1" x14ac:dyDescent="0.3">
      <c r="B17" s="327" t="s">
        <v>16</v>
      </c>
      <c r="C17" s="473" t="s">
        <v>1</v>
      </c>
      <c r="D17" s="473"/>
      <c r="E17" s="473"/>
      <c r="F17" s="473"/>
      <c r="G17" s="473"/>
      <c r="H17" s="474"/>
    </row>
    <row r="18" spans="1:17" ht="24" customHeight="1" thickBot="1" x14ac:dyDescent="0.35">
      <c r="B18" s="328" t="s">
        <v>17</v>
      </c>
      <c r="C18" s="481" t="s">
        <v>1</v>
      </c>
      <c r="D18" s="481"/>
      <c r="E18" s="481"/>
      <c r="F18" s="481"/>
      <c r="G18" s="404" t="s">
        <v>18</v>
      </c>
      <c r="H18" s="419">
        <v>1000</v>
      </c>
    </row>
    <row r="19" spans="1:17" ht="18" customHeight="1" thickBot="1" x14ac:dyDescent="0.35">
      <c r="B19" s="1"/>
      <c r="C19" s="28"/>
      <c r="D19" s="28"/>
      <c r="E19" s="28"/>
      <c r="F19" s="28"/>
      <c r="G19" s="28"/>
      <c r="H19" s="32"/>
    </row>
    <row r="20" spans="1:17" ht="22.5" customHeight="1" thickBot="1" x14ac:dyDescent="0.3">
      <c r="A20" s="3" t="s">
        <v>19</v>
      </c>
      <c r="B20" s="482" t="s">
        <v>567</v>
      </c>
      <c r="C20" s="483"/>
      <c r="D20" s="483"/>
      <c r="E20" s="483"/>
      <c r="F20" s="483"/>
      <c r="G20" s="483"/>
      <c r="H20" s="484"/>
    </row>
    <row r="21" spans="1:17" ht="21.75" customHeight="1" x14ac:dyDescent="0.3">
      <c r="A21" s="3"/>
      <c r="B21" s="491" t="s">
        <v>561</v>
      </c>
      <c r="C21" s="501" t="s">
        <v>73</v>
      </c>
      <c r="D21" s="330"/>
      <c r="E21" s="330"/>
      <c r="F21" s="330"/>
      <c r="G21" s="330"/>
      <c r="H21" s="331"/>
    </row>
    <row r="22" spans="1:17" ht="21.75" customHeight="1" thickBot="1" x14ac:dyDescent="0.35">
      <c r="A22" s="3"/>
      <c r="B22" s="492"/>
      <c r="C22" s="502"/>
      <c r="D22" s="410"/>
      <c r="E22" s="410"/>
      <c r="F22" s="410"/>
      <c r="G22" s="410"/>
      <c r="H22" s="333"/>
    </row>
    <row r="23" spans="1:17" ht="21.75" customHeight="1" x14ac:dyDescent="0.3">
      <c r="B23" s="332" t="s">
        <v>20</v>
      </c>
      <c r="C23" s="411" t="s">
        <v>21</v>
      </c>
      <c r="D23" s="334" t="s">
        <v>62</v>
      </c>
      <c r="E23" s="463" t="s">
        <v>105</v>
      </c>
      <c r="F23" s="464"/>
      <c r="G23" s="334" t="s">
        <v>1</v>
      </c>
      <c r="H23" s="333"/>
      <c r="I23" s="4"/>
      <c r="J23" s="4"/>
    </row>
    <row r="24" spans="1:17" ht="21.75" customHeight="1" thickBot="1" x14ac:dyDescent="0.35">
      <c r="B24" s="332" t="s">
        <v>562</v>
      </c>
      <c r="C24" s="411" t="s">
        <v>22</v>
      </c>
      <c r="D24" s="335"/>
      <c r="E24" s="463" t="s">
        <v>106</v>
      </c>
      <c r="F24" s="464"/>
      <c r="G24" s="336"/>
      <c r="H24" s="333" t="s">
        <v>1</v>
      </c>
      <c r="I24" s="4"/>
      <c r="J24" s="4"/>
    </row>
    <row r="25" spans="1:17" ht="30" customHeight="1" thickBot="1" x14ac:dyDescent="0.35">
      <c r="B25" s="332" t="s">
        <v>23</v>
      </c>
      <c r="C25" s="414" t="s">
        <v>564</v>
      </c>
      <c r="D25" s="418" t="s">
        <v>251</v>
      </c>
      <c r="E25" s="414" t="s">
        <v>568</v>
      </c>
      <c r="F25" s="337"/>
      <c r="G25" s="409" t="s">
        <v>26</v>
      </c>
      <c r="H25" s="338">
        <v>4</v>
      </c>
      <c r="J25" s="4"/>
      <c r="Q25" s="2" t="s">
        <v>1</v>
      </c>
    </row>
    <row r="26" spans="1:17" ht="21.75" customHeight="1" x14ac:dyDescent="0.3">
      <c r="B26" s="332"/>
      <c r="C26" s="411" t="s">
        <v>563</v>
      </c>
      <c r="D26" s="339">
        <f>VLOOKUP(D25,Voltage_Choice_VLKUP,2)</f>
        <v>208</v>
      </c>
      <c r="E26" s="411" t="s">
        <v>565</v>
      </c>
      <c r="F26" s="339">
        <f>VLOOKUP(D25,Voltage_Choice_VLKUP,3)</f>
        <v>3</v>
      </c>
      <c r="G26" s="410"/>
      <c r="H26" s="340" t="s">
        <v>1</v>
      </c>
      <c r="J26" s="4"/>
    </row>
    <row r="27" spans="1:17" ht="21.75" customHeight="1" thickBot="1" x14ac:dyDescent="0.35">
      <c r="B27" s="332" t="s">
        <v>28</v>
      </c>
      <c r="C27" s="410"/>
      <c r="D27" s="410"/>
      <c r="E27" s="410"/>
      <c r="F27" s="410" t="s">
        <v>1</v>
      </c>
      <c r="G27" s="410"/>
      <c r="H27" s="340" t="s">
        <v>1</v>
      </c>
      <c r="N27" s="2" t="s">
        <v>1</v>
      </c>
    </row>
    <row r="28" spans="1:17" ht="42.5" thickBot="1" x14ac:dyDescent="0.35">
      <c r="B28" s="341" t="s">
        <v>31</v>
      </c>
      <c r="C28" s="412" t="s">
        <v>32</v>
      </c>
      <c r="D28" s="420" t="s">
        <v>108</v>
      </c>
      <c r="E28" s="343" t="s">
        <v>160</v>
      </c>
      <c r="F28" s="420" t="s">
        <v>30</v>
      </c>
      <c r="G28" s="342"/>
      <c r="H28" s="344"/>
      <c r="I28" s="4"/>
      <c r="Q28" s="2" t="s">
        <v>1</v>
      </c>
    </row>
    <row r="29" spans="1:17" ht="21.75" customHeight="1" thickBot="1" x14ac:dyDescent="0.35">
      <c r="I29" s="4"/>
    </row>
    <row r="30" spans="1:17" ht="22.5" customHeight="1" thickBot="1" x14ac:dyDescent="0.35">
      <c r="B30" s="503" t="s">
        <v>514</v>
      </c>
      <c r="C30" s="504"/>
      <c r="D30" s="504"/>
      <c r="E30" s="504"/>
      <c r="F30" s="504"/>
      <c r="G30" s="504"/>
      <c r="H30" s="505"/>
      <c r="I30" s="4"/>
    </row>
    <row r="31" spans="1:17" ht="99.75" customHeight="1" thickBot="1" x14ac:dyDescent="0.3">
      <c r="A31" s="2"/>
      <c r="B31" s="406" t="s">
        <v>33</v>
      </c>
      <c r="C31" s="405" t="s">
        <v>34</v>
      </c>
      <c r="D31" s="408" t="s">
        <v>29</v>
      </c>
      <c r="E31" s="405" t="s">
        <v>145</v>
      </c>
      <c r="F31" s="408" t="s">
        <v>94</v>
      </c>
      <c r="G31" s="471" t="s">
        <v>623</v>
      </c>
      <c r="H31" s="472"/>
      <c r="I31" s="4"/>
      <c r="J31" s="458" t="str">
        <f>IF(F31="CTs in Switchgear",AZ1,"")</f>
        <v/>
      </c>
      <c r="K31" s="458"/>
      <c r="L31" s="458"/>
      <c r="M31" s="458"/>
      <c r="N31" s="458"/>
      <c r="O31" s="458"/>
    </row>
    <row r="32" spans="1:17" ht="82.5" customHeight="1" thickBot="1" x14ac:dyDescent="0.3">
      <c r="A32" s="2"/>
      <c r="B32" s="406" t="s">
        <v>550</v>
      </c>
      <c r="C32" s="413">
        <v>1</v>
      </c>
      <c r="D32" s="407" t="s">
        <v>35</v>
      </c>
      <c r="E32" s="413"/>
      <c r="F32" s="461" t="s">
        <v>161</v>
      </c>
      <c r="G32" s="462"/>
      <c r="H32" s="347" t="str">
        <f>VLOOKUP(F31,F103:G108,2)</f>
        <v>Service Center</v>
      </c>
      <c r="I32" s="4"/>
      <c r="J32" s="458"/>
      <c r="K32" s="458"/>
      <c r="L32" s="458"/>
      <c r="M32" s="458"/>
      <c r="N32" s="458"/>
      <c r="O32" s="458"/>
    </row>
    <row r="33" spans="1:21" ht="42" customHeight="1" thickBot="1" x14ac:dyDescent="0.3">
      <c r="A33" s="2"/>
      <c r="B33" s="406" t="s">
        <v>559</v>
      </c>
      <c r="C33" s="413">
        <v>1</v>
      </c>
      <c r="D33" s="461" t="s">
        <v>560</v>
      </c>
      <c r="E33" s="461"/>
      <c r="F33" s="413"/>
      <c r="G33" s="345"/>
      <c r="H33" s="346"/>
      <c r="I33" s="4"/>
    </row>
    <row r="34" spans="1:21" ht="76.5" customHeight="1" thickBot="1" x14ac:dyDescent="0.3">
      <c r="A34" s="2"/>
      <c r="B34" s="406" t="s">
        <v>572</v>
      </c>
      <c r="C34" s="413"/>
      <c r="D34" s="461" t="s">
        <v>285</v>
      </c>
      <c r="E34" s="461"/>
      <c r="F34" s="461"/>
      <c r="G34" s="493"/>
      <c r="H34" s="494"/>
      <c r="I34" s="4"/>
    </row>
    <row r="35" spans="1:21" ht="38.25" customHeight="1" thickBot="1" x14ac:dyDescent="0.3">
      <c r="A35" s="2"/>
      <c r="I35" s="4"/>
    </row>
    <row r="36" spans="1:21" ht="22.5" customHeight="1" thickBot="1" x14ac:dyDescent="0.35">
      <c r="A36" s="1" t="s">
        <v>1</v>
      </c>
      <c r="B36" s="495" t="s">
        <v>551</v>
      </c>
      <c r="C36" s="496" t="s">
        <v>1</v>
      </c>
      <c r="D36" s="496"/>
      <c r="E36" s="496"/>
      <c r="F36" s="496"/>
      <c r="G36" s="496" t="s">
        <v>1</v>
      </c>
      <c r="H36" s="497"/>
      <c r="J36" s="22" t="s">
        <v>450</v>
      </c>
    </row>
    <row r="37" spans="1:21" s="7" customFormat="1" ht="33" customHeight="1" thickBot="1" x14ac:dyDescent="0.35">
      <c r="A37" s="1" t="s">
        <v>1</v>
      </c>
      <c r="B37" s="220" t="s">
        <v>499</v>
      </c>
      <c r="C37" s="221" t="s">
        <v>109</v>
      </c>
      <c r="D37" s="222" t="s">
        <v>110</v>
      </c>
      <c r="E37" s="222" t="s">
        <v>37</v>
      </c>
      <c r="F37" s="222" t="s">
        <v>38</v>
      </c>
      <c r="G37" s="222" t="s">
        <v>39</v>
      </c>
      <c r="H37" s="223" t="s">
        <v>40</v>
      </c>
      <c r="J37" s="82" t="s">
        <v>1</v>
      </c>
      <c r="K37" s="83"/>
      <c r="L37" s="114" t="s">
        <v>151</v>
      </c>
      <c r="M37" s="120">
        <v>0.95</v>
      </c>
      <c r="O37"/>
    </row>
    <row r="38" spans="1:21" ht="33" customHeight="1" x14ac:dyDescent="0.3">
      <c r="A38" s="485" t="s">
        <v>138</v>
      </c>
      <c r="B38" s="428" t="s">
        <v>134</v>
      </c>
      <c r="C38" s="451">
        <v>0</v>
      </c>
      <c r="D38" s="228"/>
      <c r="E38" s="229"/>
      <c r="F38" s="229"/>
      <c r="G38" s="228"/>
      <c r="H38" s="227" t="s">
        <v>1</v>
      </c>
      <c r="J38" s="121" t="s">
        <v>451</v>
      </c>
      <c r="K38" s="81" t="s">
        <v>452</v>
      </c>
      <c r="L38" s="81" t="s">
        <v>453</v>
      </c>
      <c r="M38" s="122" t="s">
        <v>130</v>
      </c>
      <c r="O38"/>
    </row>
    <row r="39" spans="1:21" ht="33" customHeight="1" x14ac:dyDescent="0.3">
      <c r="A39" s="486"/>
      <c r="B39" s="429" t="s">
        <v>53</v>
      </c>
      <c r="C39" s="451">
        <v>0</v>
      </c>
      <c r="D39" s="228"/>
      <c r="E39" s="229"/>
      <c r="F39" s="229"/>
      <c r="G39" s="228"/>
      <c r="H39" s="227" t="s">
        <v>1</v>
      </c>
      <c r="J39" s="84"/>
      <c r="K39" s="117">
        <f>L39/M39*1000/M37*1/1.732</f>
        <v>633.07807625298824</v>
      </c>
      <c r="L39" s="116">
        <v>500</v>
      </c>
      <c r="M39" s="123">
        <v>480</v>
      </c>
      <c r="O39"/>
      <c r="P39"/>
    </row>
    <row r="40" spans="1:21" ht="33" customHeight="1" x14ac:dyDescent="0.3">
      <c r="A40" s="486"/>
      <c r="B40" s="429" t="s">
        <v>41</v>
      </c>
      <c r="C40" s="451">
        <v>0</v>
      </c>
      <c r="D40" s="228"/>
      <c r="E40" s="229"/>
      <c r="F40" s="229"/>
      <c r="G40" s="228"/>
      <c r="H40" s="227" t="s">
        <v>1</v>
      </c>
      <c r="J40" s="121" t="s">
        <v>454</v>
      </c>
      <c r="K40" s="81" t="s">
        <v>453</v>
      </c>
      <c r="L40" s="81" t="s">
        <v>25</v>
      </c>
      <c r="M40" s="122" t="s">
        <v>130</v>
      </c>
      <c r="O40"/>
      <c r="P40" s="81" t="s">
        <v>1</v>
      </c>
      <c r="U40"/>
    </row>
    <row r="41" spans="1:21" ht="33" customHeight="1" x14ac:dyDescent="0.3">
      <c r="A41" s="486"/>
      <c r="B41" s="429" t="s">
        <v>54</v>
      </c>
      <c r="C41" s="451">
        <v>0</v>
      </c>
      <c r="D41" s="228"/>
      <c r="E41" s="229"/>
      <c r="F41" s="229"/>
      <c r="G41" s="228"/>
      <c r="H41" s="227" t="s">
        <v>1</v>
      </c>
      <c r="J41" s="124">
        <f>K41/M37</f>
        <v>1153.9276800000002</v>
      </c>
      <c r="K41" s="117">
        <f>L41*M41*M37*1.732/1000</f>
        <v>1096.2312960000002</v>
      </c>
      <c r="L41" s="116">
        <v>1388</v>
      </c>
      <c r="M41" s="123">
        <v>480</v>
      </c>
      <c r="O41"/>
      <c r="P41" s="81" t="s">
        <v>1</v>
      </c>
      <c r="U41"/>
    </row>
    <row r="42" spans="1:21" ht="33" customHeight="1" x14ac:dyDescent="0.3">
      <c r="A42" s="486"/>
      <c r="B42" s="429" t="s">
        <v>317</v>
      </c>
      <c r="C42" s="451">
        <v>0</v>
      </c>
      <c r="D42" s="228"/>
      <c r="E42" s="229"/>
      <c r="F42" s="229"/>
      <c r="G42" s="228"/>
      <c r="H42" s="227" t="s">
        <v>1</v>
      </c>
      <c r="J42" s="121" t="s">
        <v>454</v>
      </c>
      <c r="K42" s="81" t="s">
        <v>453</v>
      </c>
      <c r="L42" s="81"/>
      <c r="M42" s="85"/>
      <c r="O42"/>
      <c r="P42" s="81" t="s">
        <v>1</v>
      </c>
      <c r="U42"/>
    </row>
    <row r="43" spans="1:21" ht="33" customHeight="1" x14ac:dyDescent="0.3">
      <c r="A43" s="486"/>
      <c r="B43" s="429" t="s">
        <v>52</v>
      </c>
      <c r="C43" s="451">
        <v>0</v>
      </c>
      <c r="D43" s="228"/>
      <c r="E43" s="229"/>
      <c r="F43" s="229"/>
      <c r="G43" s="228"/>
      <c r="H43" s="227" t="s">
        <v>1</v>
      </c>
      <c r="J43" s="124">
        <f>K43/M37</f>
        <v>1214.7368421052631</v>
      </c>
      <c r="K43" s="118">
        <v>1154</v>
      </c>
      <c r="L43"/>
      <c r="M43" s="85"/>
      <c r="O43"/>
      <c r="P43"/>
      <c r="U43"/>
    </row>
    <row r="44" spans="1:21" ht="33" customHeight="1" x14ac:dyDescent="0.3">
      <c r="A44" s="486"/>
      <c r="B44" s="429" t="s">
        <v>315</v>
      </c>
      <c r="C44" s="451">
        <v>0</v>
      </c>
      <c r="D44" s="228"/>
      <c r="E44" s="229"/>
      <c r="F44" s="229"/>
      <c r="G44" s="228"/>
      <c r="H44" s="227" t="s">
        <v>1</v>
      </c>
      <c r="J44" s="121" t="s">
        <v>454</v>
      </c>
      <c r="K44" s="81" t="s">
        <v>455</v>
      </c>
      <c r="L44" s="81" t="s">
        <v>456</v>
      </c>
      <c r="M44" s="85"/>
      <c r="O44"/>
      <c r="P44" s="81" t="s">
        <v>1</v>
      </c>
      <c r="U44"/>
    </row>
    <row r="45" spans="1:21" ht="33" customHeight="1" thickBot="1" x14ac:dyDescent="0.35">
      <c r="A45" s="486"/>
      <c r="B45" s="429" t="s">
        <v>54</v>
      </c>
      <c r="C45" s="451">
        <v>0</v>
      </c>
      <c r="D45" s="228"/>
      <c r="E45" s="229"/>
      <c r="F45" s="229"/>
      <c r="G45" s="228"/>
      <c r="H45" s="227" t="s">
        <v>1</v>
      </c>
      <c r="J45" s="125">
        <f>K45/M37</f>
        <v>19.631578947368421</v>
      </c>
      <c r="K45" s="126">
        <f>L45*0.746</f>
        <v>18.649999999999999</v>
      </c>
      <c r="L45" s="115">
        <v>25</v>
      </c>
      <c r="M45" s="42"/>
      <c r="O45"/>
      <c r="P45" s="81" t="s">
        <v>1</v>
      </c>
      <c r="U45"/>
    </row>
    <row r="46" spans="1:21" ht="33" customHeight="1" thickBot="1" x14ac:dyDescent="0.3">
      <c r="A46" s="486"/>
      <c r="B46" s="428" t="s">
        <v>113</v>
      </c>
      <c r="C46" s="451">
        <v>0</v>
      </c>
      <c r="D46" s="228"/>
      <c r="E46" s="229"/>
      <c r="F46" s="229"/>
      <c r="G46" s="228"/>
      <c r="H46" s="227" t="s">
        <v>1</v>
      </c>
      <c r="J46"/>
      <c r="K46"/>
      <c r="L46"/>
      <c r="M46"/>
      <c r="O46"/>
    </row>
    <row r="47" spans="1:21" ht="33" customHeight="1" x14ac:dyDescent="0.3">
      <c r="A47" s="486"/>
      <c r="B47" s="429" t="s">
        <v>53</v>
      </c>
      <c r="C47" s="451">
        <v>0</v>
      </c>
      <c r="D47" s="228"/>
      <c r="E47" s="229"/>
      <c r="F47" s="229"/>
      <c r="G47" s="228"/>
      <c r="H47" s="227" t="s">
        <v>1</v>
      </c>
      <c r="J47" s="127"/>
      <c r="K47" s="128"/>
      <c r="L47" s="114" t="s">
        <v>151</v>
      </c>
      <c r="M47" s="120">
        <v>0.95</v>
      </c>
      <c r="O47"/>
      <c r="P47"/>
      <c r="Q47" s="2" t="s">
        <v>1</v>
      </c>
      <c r="U47"/>
    </row>
    <row r="48" spans="1:21" ht="33" customHeight="1" x14ac:dyDescent="0.3">
      <c r="A48" s="486"/>
      <c r="B48" s="429" t="s">
        <v>41</v>
      </c>
      <c r="C48" s="451">
        <v>0</v>
      </c>
      <c r="D48" s="228"/>
      <c r="E48" s="229"/>
      <c r="F48" s="229"/>
      <c r="G48" s="228"/>
      <c r="H48" s="227" t="s">
        <v>1</v>
      </c>
      <c r="J48" s="121" t="s">
        <v>458</v>
      </c>
      <c r="K48" s="81" t="s">
        <v>25</v>
      </c>
      <c r="L48" s="81" t="s">
        <v>453</v>
      </c>
      <c r="M48" s="122" t="s">
        <v>130</v>
      </c>
    </row>
    <row r="49" spans="1:13" ht="33" customHeight="1" x14ac:dyDescent="0.3">
      <c r="A49" s="486"/>
      <c r="B49" s="429" t="s">
        <v>54</v>
      </c>
      <c r="C49" s="451">
        <v>0</v>
      </c>
      <c r="D49" s="228"/>
      <c r="E49" s="229"/>
      <c r="F49" s="229"/>
      <c r="G49" s="228"/>
      <c r="H49" s="227" t="s">
        <v>1</v>
      </c>
      <c r="J49" s="129"/>
      <c r="K49" s="117">
        <f>L49*1000/M49/M47</f>
        <v>100</v>
      </c>
      <c r="L49" s="116">
        <v>11.4</v>
      </c>
      <c r="M49" s="123">
        <v>120</v>
      </c>
    </row>
    <row r="50" spans="1:13" ht="33" customHeight="1" x14ac:dyDescent="0.3">
      <c r="A50" s="486"/>
      <c r="B50" s="429" t="s">
        <v>53</v>
      </c>
      <c r="C50" s="451">
        <v>0</v>
      </c>
      <c r="D50" s="228"/>
      <c r="E50" s="229"/>
      <c r="F50" s="229"/>
      <c r="G50" s="228"/>
      <c r="H50" s="227" t="s">
        <v>1</v>
      </c>
      <c r="J50" s="121" t="s">
        <v>459</v>
      </c>
      <c r="K50" s="81" t="s">
        <v>457</v>
      </c>
      <c r="L50" s="81" t="s">
        <v>25</v>
      </c>
      <c r="M50" s="122" t="s">
        <v>130</v>
      </c>
    </row>
    <row r="51" spans="1:13" ht="33" customHeight="1" x14ac:dyDescent="0.3">
      <c r="A51" s="486"/>
      <c r="B51" s="429" t="s">
        <v>541</v>
      </c>
      <c r="C51" s="451">
        <v>0</v>
      </c>
      <c r="D51" s="228"/>
      <c r="E51" s="229"/>
      <c r="F51" s="229"/>
      <c r="G51" s="228"/>
      <c r="H51" s="227" t="s">
        <v>1</v>
      </c>
      <c r="J51" s="130">
        <f>M51*L51/1000/M47</f>
        <v>12.631578947368421</v>
      </c>
      <c r="K51" s="119">
        <f>M51*L51*M47/1000</f>
        <v>11.4</v>
      </c>
      <c r="L51" s="116">
        <v>100</v>
      </c>
      <c r="M51" s="123">
        <v>120</v>
      </c>
    </row>
    <row r="52" spans="1:13" ht="33" customHeight="1" x14ac:dyDescent="0.25">
      <c r="A52" s="486"/>
      <c r="B52" s="429" t="s">
        <v>315</v>
      </c>
      <c r="C52" s="451">
        <v>0</v>
      </c>
      <c r="D52" s="228"/>
      <c r="E52" s="229"/>
      <c r="F52" s="229"/>
      <c r="G52" s="228"/>
      <c r="H52" s="227" t="s">
        <v>1</v>
      </c>
      <c r="J52" s="129"/>
      <c r="M52" s="131"/>
    </row>
    <row r="53" spans="1:13" ht="33" customHeight="1" thickBot="1" x14ac:dyDescent="0.35">
      <c r="A53" s="487"/>
      <c r="B53" s="429" t="s">
        <v>54</v>
      </c>
      <c r="C53" s="451">
        <v>0</v>
      </c>
      <c r="D53" s="230"/>
      <c r="E53" s="231"/>
      <c r="F53" s="231"/>
      <c r="G53" s="230"/>
      <c r="H53" s="227" t="s">
        <v>1</v>
      </c>
      <c r="J53" s="121" t="s">
        <v>459</v>
      </c>
      <c r="K53" s="81" t="s">
        <v>455</v>
      </c>
      <c r="L53" s="81" t="s">
        <v>456</v>
      </c>
      <c r="M53" s="131"/>
    </row>
    <row r="54" spans="1:13" ht="33" customHeight="1" thickBot="1" x14ac:dyDescent="0.35">
      <c r="A54" s="232"/>
      <c r="B54" s="233" t="s">
        <v>237</v>
      </c>
      <c r="C54" s="234">
        <f>SUM(C38:C53)</f>
        <v>0</v>
      </c>
      <c r="D54" s="235">
        <f>SUM(D38:D53)</f>
        <v>0</v>
      </c>
      <c r="E54" s="236"/>
      <c r="F54" s="99"/>
      <c r="G54" s="237">
        <v>0</v>
      </c>
      <c r="H54" s="238" t="s">
        <v>237</v>
      </c>
      <c r="J54" s="125">
        <f>K54/M47</f>
        <v>19.631578947368421</v>
      </c>
      <c r="K54" s="126">
        <f>L54*0.746</f>
        <v>18.649999999999999</v>
      </c>
      <c r="L54" s="115">
        <v>25</v>
      </c>
      <c r="M54" s="132"/>
    </row>
    <row r="55" spans="1:13" ht="33" customHeight="1" thickBot="1" x14ac:dyDescent="0.35">
      <c r="A55" s="384"/>
      <c r="B55" s="385"/>
      <c r="C55" s="386"/>
      <c r="D55" s="387"/>
      <c r="E55" s="388"/>
      <c r="F55" s="389"/>
      <c r="G55" s="390"/>
      <c r="H55" s="391"/>
    </row>
    <row r="56" spans="1:13" ht="33" customHeight="1" thickBot="1" x14ac:dyDescent="0.3">
      <c r="A56" s="384"/>
      <c r="B56" s="498" t="s">
        <v>552</v>
      </c>
      <c r="C56" s="499" t="s">
        <v>1</v>
      </c>
      <c r="D56" s="499"/>
      <c r="E56" s="499"/>
      <c r="F56" s="499"/>
      <c r="G56" s="499" t="s">
        <v>1</v>
      </c>
      <c r="H56" s="500"/>
    </row>
    <row r="57" spans="1:13" ht="33" customHeight="1" x14ac:dyDescent="0.25">
      <c r="A57" s="488" t="s">
        <v>139</v>
      </c>
      <c r="B57" s="435" t="s">
        <v>53</v>
      </c>
      <c r="C57" s="224">
        <v>0</v>
      </c>
      <c r="D57" s="436"/>
      <c r="E57" s="437"/>
      <c r="F57" s="437"/>
      <c r="G57" s="438"/>
      <c r="H57" s="439" t="s">
        <v>1</v>
      </c>
    </row>
    <row r="58" spans="1:13" ht="33" customHeight="1" x14ac:dyDescent="0.25">
      <c r="A58" s="489"/>
      <c r="B58" s="429" t="s">
        <v>316</v>
      </c>
      <c r="C58" s="224">
        <v>0</v>
      </c>
      <c r="D58" s="225"/>
      <c r="E58" s="226"/>
      <c r="F58" s="226"/>
      <c r="G58" s="239"/>
      <c r="H58" s="227" t="s">
        <v>1</v>
      </c>
    </row>
    <row r="59" spans="1:13" ht="33" customHeight="1" x14ac:dyDescent="0.25">
      <c r="A59" s="489"/>
      <c r="B59" s="429" t="s">
        <v>316</v>
      </c>
      <c r="C59" s="224">
        <v>0</v>
      </c>
      <c r="D59" s="225"/>
      <c r="E59" s="226"/>
      <c r="F59" s="226"/>
      <c r="G59" s="239"/>
      <c r="H59" s="227" t="s">
        <v>1</v>
      </c>
    </row>
    <row r="60" spans="1:13" ht="33" customHeight="1" x14ac:dyDescent="0.25">
      <c r="A60" s="489"/>
      <c r="B60" s="429" t="s">
        <v>52</v>
      </c>
      <c r="C60" s="224">
        <v>0</v>
      </c>
      <c r="D60" s="225"/>
      <c r="E60" s="226"/>
      <c r="F60" s="226"/>
      <c r="G60" s="239"/>
      <c r="H60" s="227" t="s">
        <v>1</v>
      </c>
    </row>
    <row r="61" spans="1:13" ht="33" customHeight="1" x14ac:dyDescent="0.25">
      <c r="A61" s="489"/>
      <c r="B61" s="429" t="s">
        <v>52</v>
      </c>
      <c r="C61" s="224">
        <v>0</v>
      </c>
      <c r="D61" s="225"/>
      <c r="E61" s="226"/>
      <c r="F61" s="226"/>
      <c r="G61" s="239"/>
      <c r="H61" s="227" t="s">
        <v>1</v>
      </c>
    </row>
    <row r="62" spans="1:13" ht="33" customHeight="1" x14ac:dyDescent="0.25">
      <c r="A62" s="489"/>
      <c r="B62" s="429" t="s">
        <v>41</v>
      </c>
      <c r="C62" s="224">
        <v>0</v>
      </c>
      <c r="D62" s="225"/>
      <c r="E62" s="226"/>
      <c r="F62" s="226"/>
      <c r="G62" s="239"/>
      <c r="H62" s="227" t="s">
        <v>1</v>
      </c>
    </row>
    <row r="63" spans="1:13" ht="33" customHeight="1" x14ac:dyDescent="0.25">
      <c r="A63" s="489"/>
      <c r="B63" s="429" t="s">
        <v>53</v>
      </c>
      <c r="C63" s="224">
        <v>0</v>
      </c>
      <c r="D63" s="225"/>
      <c r="E63" s="226"/>
      <c r="F63" s="226"/>
      <c r="G63" s="239"/>
      <c r="H63" s="227" t="s">
        <v>1</v>
      </c>
    </row>
    <row r="64" spans="1:13" ht="33" customHeight="1" thickBot="1" x14ac:dyDescent="0.3">
      <c r="A64" s="489"/>
      <c r="B64" s="429" t="s">
        <v>316</v>
      </c>
      <c r="C64" s="224">
        <v>0</v>
      </c>
      <c r="D64" s="240"/>
      <c r="E64" s="241"/>
      <c r="F64" s="241"/>
      <c r="G64" s="242"/>
      <c r="H64" s="227" t="s">
        <v>1</v>
      </c>
    </row>
    <row r="65" spans="1:13" ht="33" customHeight="1" thickBot="1" x14ac:dyDescent="0.35">
      <c r="A65" s="489"/>
      <c r="B65" s="233" t="s">
        <v>102</v>
      </c>
      <c r="C65" s="234">
        <f>SUM(C57:C64)</f>
        <v>0</v>
      </c>
      <c r="D65" s="235">
        <f>SUM(D57:D64)</f>
        <v>0</v>
      </c>
      <c r="E65" s="236"/>
      <c r="F65" s="99"/>
      <c r="G65" s="237"/>
      <c r="H65" s="243" t="s">
        <v>101</v>
      </c>
    </row>
    <row r="66" spans="1:13" ht="33" customHeight="1" x14ac:dyDescent="0.25">
      <c r="A66" s="489"/>
      <c r="B66" s="429" t="s">
        <v>134</v>
      </c>
      <c r="C66" s="224">
        <v>0</v>
      </c>
      <c r="D66" s="225"/>
      <c r="E66" s="226"/>
      <c r="F66" s="226"/>
      <c r="G66" s="239"/>
      <c r="H66" s="227"/>
    </row>
    <row r="67" spans="1:13" ht="33" customHeight="1" thickBot="1" x14ac:dyDescent="0.3">
      <c r="A67" s="489"/>
      <c r="B67" s="429" t="s">
        <v>317</v>
      </c>
      <c r="C67" s="224">
        <v>0</v>
      </c>
      <c r="D67" s="225"/>
      <c r="E67" s="226"/>
      <c r="F67" s="226"/>
      <c r="G67" s="239"/>
      <c r="H67" s="227"/>
    </row>
    <row r="68" spans="1:13" ht="33" customHeight="1" thickBot="1" x14ac:dyDescent="0.35">
      <c r="A68" s="490"/>
      <c r="B68" s="233" t="s">
        <v>104</v>
      </c>
      <c r="C68" s="234">
        <f>SUM(C66:C67)</f>
        <v>0</v>
      </c>
      <c r="D68" s="235">
        <f>SUM(D66:D67)</f>
        <v>0</v>
      </c>
      <c r="E68" s="236"/>
      <c r="F68" s="99"/>
      <c r="G68" s="237"/>
      <c r="H68" s="243" t="s">
        <v>100</v>
      </c>
    </row>
    <row r="69" spans="1:13" ht="33" customHeight="1" thickBot="1" x14ac:dyDescent="0.35">
      <c r="A69" s="244"/>
      <c r="B69" s="200" t="s">
        <v>235</v>
      </c>
      <c r="C69" s="245">
        <f>C68+C65</f>
        <v>0</v>
      </c>
      <c r="D69" s="245">
        <f>D68+D65</f>
        <v>0</v>
      </c>
      <c r="E69" s="246"/>
      <c r="F69" s="153"/>
      <c r="G69" s="247"/>
      <c r="H69" s="248" t="s">
        <v>236</v>
      </c>
    </row>
    <row r="70" spans="1:13" ht="33" customHeight="1" thickBot="1" x14ac:dyDescent="0.35">
      <c r="A70" s="2"/>
      <c r="B70" s="6" t="s">
        <v>132</v>
      </c>
      <c r="C70" s="249">
        <f>SUM(C54+C68+C65)</f>
        <v>0</v>
      </c>
      <c r="D70" s="250">
        <f>SUM(D54+D68+D65)</f>
        <v>0</v>
      </c>
      <c r="E70" s="250"/>
      <c r="F70" s="153"/>
      <c r="G70" s="251" t="s">
        <v>1</v>
      </c>
      <c r="H70" s="252" t="s">
        <v>1</v>
      </c>
    </row>
    <row r="71" spans="1:13" ht="15.75" customHeight="1" thickBot="1" x14ac:dyDescent="0.3">
      <c r="A71" s="2"/>
    </row>
    <row r="72" spans="1:13" ht="22.5" customHeight="1" thickBot="1" x14ac:dyDescent="0.35">
      <c r="A72" s="2"/>
      <c r="B72" s="10" t="s">
        <v>42</v>
      </c>
      <c r="C72" s="455" t="s">
        <v>1</v>
      </c>
      <c r="D72" s="456"/>
      <c r="E72" s="456"/>
      <c r="F72" s="456"/>
      <c r="G72" s="456"/>
      <c r="H72" s="457"/>
    </row>
    <row r="73" spans="1:13" ht="60.75" customHeight="1" thickBot="1" x14ac:dyDescent="0.35">
      <c r="A73" s="2"/>
      <c r="B73" s="6" t="s">
        <v>461</v>
      </c>
      <c r="C73" s="455" t="s">
        <v>1</v>
      </c>
      <c r="D73" s="456"/>
      <c r="E73" s="456"/>
      <c r="F73" s="456"/>
      <c r="G73" s="456"/>
      <c r="H73" s="457"/>
      <c r="K73" s="11"/>
      <c r="L73" s="11"/>
      <c r="M73" s="68"/>
    </row>
    <row r="74" spans="1:13" ht="38.25" customHeight="1" x14ac:dyDescent="0.25">
      <c r="A74" s="2"/>
      <c r="E74" s="4"/>
      <c r="F74" s="4"/>
      <c r="G74" s="4"/>
      <c r="K74" s="11"/>
      <c r="L74" s="11"/>
      <c r="M74" s="68"/>
    </row>
    <row r="75" spans="1:13" ht="38.25" customHeight="1" x14ac:dyDescent="0.3">
      <c r="A75" s="2"/>
      <c r="B75" s="12" t="s">
        <v>312</v>
      </c>
      <c r="E75" s="4"/>
      <c r="F75" s="4"/>
      <c r="G75" s="4"/>
      <c r="K75" s="11"/>
      <c r="L75" s="11"/>
      <c r="M75" s="68"/>
    </row>
    <row r="76" spans="1:13" ht="34.5" customHeight="1" x14ac:dyDescent="0.3">
      <c r="B76" s="69" t="s">
        <v>231</v>
      </c>
      <c r="C76" s="69" t="s">
        <v>232</v>
      </c>
      <c r="F76" s="12" t="s">
        <v>45</v>
      </c>
      <c r="G76" s="11"/>
      <c r="H76" s="11"/>
      <c r="I76" s="11"/>
      <c r="J76" s="11"/>
      <c r="K76" s="18"/>
      <c r="L76" s="18"/>
      <c r="M76" s="68"/>
    </row>
    <row r="77" spans="1:13" x14ac:dyDescent="0.3">
      <c r="B77" s="27">
        <v>421</v>
      </c>
      <c r="C77" s="27" t="s">
        <v>571</v>
      </c>
      <c r="F77" s="11" t="s">
        <v>5</v>
      </c>
      <c r="G77" s="11" t="s">
        <v>46</v>
      </c>
      <c r="H77" s="11" t="s">
        <v>47</v>
      </c>
      <c r="I77" s="11" t="s">
        <v>48</v>
      </c>
      <c r="J77" s="11"/>
      <c r="K77" s="18"/>
      <c r="L77" s="18"/>
      <c r="M77" s="68"/>
    </row>
    <row r="78" spans="1:13" x14ac:dyDescent="0.3">
      <c r="B78" s="27">
        <v>422</v>
      </c>
      <c r="C78" s="27" t="s">
        <v>570</v>
      </c>
      <c r="F78" s="14" t="s">
        <v>49</v>
      </c>
      <c r="G78" s="17">
        <v>2076294517</v>
      </c>
      <c r="H78" s="17">
        <v>2072428123</v>
      </c>
      <c r="I78" s="18" t="s">
        <v>50</v>
      </c>
      <c r="J78" s="14"/>
      <c r="K78" s="18"/>
    </row>
    <row r="79" spans="1:13" x14ac:dyDescent="0.3">
      <c r="B79" s="415" t="s">
        <v>569</v>
      </c>
      <c r="C79" s="27" t="s">
        <v>569</v>
      </c>
      <c r="F79" s="14" t="s">
        <v>537</v>
      </c>
      <c r="G79" s="17">
        <v>2072423515</v>
      </c>
      <c r="I79" s="18" t="s">
        <v>538</v>
      </c>
      <c r="J79" s="14"/>
      <c r="K79" s="18"/>
      <c r="L79" s="18"/>
      <c r="M79" s="68"/>
    </row>
    <row r="80" spans="1:13" x14ac:dyDescent="0.3">
      <c r="B80" s="12" t="s">
        <v>245</v>
      </c>
      <c r="C80" s="12" t="s">
        <v>130</v>
      </c>
      <c r="D80" s="12" t="s">
        <v>55</v>
      </c>
      <c r="F80" s="14" t="s">
        <v>6</v>
      </c>
      <c r="G80" s="17">
        <v>2076291489</v>
      </c>
      <c r="H80" s="17">
        <v>2076294982</v>
      </c>
      <c r="I80" s="18" t="s">
        <v>616</v>
      </c>
      <c r="J80" s="18"/>
      <c r="K80" s="18"/>
      <c r="L80" s="18"/>
      <c r="M80" s="68"/>
    </row>
    <row r="81" spans="1:16" x14ac:dyDescent="0.3">
      <c r="F81" s="14" t="s">
        <v>610</v>
      </c>
      <c r="G81" s="17">
        <v>2072424092</v>
      </c>
      <c r="H81" s="17">
        <v>2076292541</v>
      </c>
      <c r="I81" s="18" t="s">
        <v>611</v>
      </c>
      <c r="K81" s="18"/>
      <c r="N81" s="17"/>
      <c r="P81" s="18"/>
    </row>
    <row r="82" spans="1:16" x14ac:dyDescent="0.3">
      <c r="B82" s="20" t="s">
        <v>246</v>
      </c>
      <c r="C82" s="20">
        <v>208</v>
      </c>
      <c r="D82" s="20">
        <v>1</v>
      </c>
      <c r="F82" s="14" t="s">
        <v>294</v>
      </c>
      <c r="G82" s="17">
        <v>2076294552</v>
      </c>
      <c r="H82" s="17">
        <v>2076294925</v>
      </c>
      <c r="I82" s="18" t="s">
        <v>293</v>
      </c>
      <c r="J82" s="18"/>
      <c r="K82" s="11"/>
      <c r="L82" s="68"/>
    </row>
    <row r="83" spans="1:16" x14ac:dyDescent="0.3">
      <c r="B83" s="20" t="s">
        <v>247</v>
      </c>
      <c r="C83" s="20">
        <v>240</v>
      </c>
      <c r="D83" s="20">
        <v>1</v>
      </c>
      <c r="F83" s="14" t="s">
        <v>614</v>
      </c>
      <c r="G83" s="17">
        <v>2072425744</v>
      </c>
      <c r="H83" s="17" t="s">
        <v>1</v>
      </c>
      <c r="I83" s="18" t="s">
        <v>615</v>
      </c>
      <c r="K83" s="11"/>
      <c r="L83" s="68"/>
    </row>
    <row r="84" spans="1:16" x14ac:dyDescent="0.3">
      <c r="B84" s="20" t="s">
        <v>248</v>
      </c>
      <c r="C84" s="20">
        <v>120</v>
      </c>
      <c r="D84" s="20">
        <v>1</v>
      </c>
      <c r="F84" s="14" t="s">
        <v>617</v>
      </c>
      <c r="G84" s="17">
        <v>2076291487</v>
      </c>
      <c r="H84" s="17"/>
      <c r="I84" s="18" t="s">
        <v>618</v>
      </c>
      <c r="K84" s="11"/>
      <c r="L84" s="68"/>
    </row>
    <row r="85" spans="1:16" x14ac:dyDescent="0.3">
      <c r="B85" s="20" t="s">
        <v>249</v>
      </c>
      <c r="C85" s="20">
        <v>277</v>
      </c>
      <c r="D85" s="20">
        <v>1</v>
      </c>
      <c r="F85" s="14" t="s">
        <v>509</v>
      </c>
      <c r="G85" s="17">
        <v>2076294516</v>
      </c>
      <c r="H85" s="17" t="s">
        <v>1</v>
      </c>
      <c r="I85" s="18" t="s">
        <v>508</v>
      </c>
      <c r="J85" s="18"/>
      <c r="K85" s="11"/>
    </row>
    <row r="86" spans="1:16" x14ac:dyDescent="0.3">
      <c r="B86" s="20" t="s">
        <v>250</v>
      </c>
      <c r="C86" s="20">
        <v>480</v>
      </c>
      <c r="D86" s="20">
        <v>1</v>
      </c>
      <c r="F86" s="14" t="s">
        <v>500</v>
      </c>
      <c r="G86" s="17">
        <v>2076294578</v>
      </c>
      <c r="H86" s="17" t="s">
        <v>1</v>
      </c>
      <c r="I86" s="18" t="s">
        <v>501</v>
      </c>
      <c r="J86" s="18"/>
      <c r="K86" s="11"/>
    </row>
    <row r="87" spans="1:16" x14ac:dyDescent="0.3">
      <c r="B87" s="20" t="s">
        <v>251</v>
      </c>
      <c r="C87" s="20">
        <v>208</v>
      </c>
      <c r="D87" s="20">
        <v>3</v>
      </c>
      <c r="F87" s="12" t="s">
        <v>129</v>
      </c>
      <c r="G87" s="12" t="s">
        <v>128</v>
      </c>
      <c r="H87" s="12" t="s">
        <v>261</v>
      </c>
      <c r="J87" s="11"/>
      <c r="K87" s="11"/>
    </row>
    <row r="88" spans="1:16" x14ac:dyDescent="0.3">
      <c r="B88" s="20" t="s">
        <v>252</v>
      </c>
      <c r="C88" s="20">
        <v>240</v>
      </c>
      <c r="D88" s="20">
        <v>3</v>
      </c>
      <c r="F88" s="156" t="s">
        <v>471</v>
      </c>
      <c r="G88" s="12" t="s">
        <v>308</v>
      </c>
      <c r="H88" s="14" t="s">
        <v>73</v>
      </c>
      <c r="J88" s="68"/>
      <c r="K88" s="11"/>
    </row>
    <row r="89" spans="1:16" x14ac:dyDescent="0.3">
      <c r="B89" s="19" t="s">
        <v>253</v>
      </c>
      <c r="C89" s="88">
        <v>12470</v>
      </c>
      <c r="D89" s="20">
        <v>3</v>
      </c>
      <c r="F89" s="156" t="s">
        <v>472</v>
      </c>
      <c r="G89" s="12" t="s">
        <v>308</v>
      </c>
      <c r="H89" s="14" t="s">
        <v>72</v>
      </c>
      <c r="I89" s="14" t="s">
        <v>1</v>
      </c>
      <c r="J89" s="11"/>
      <c r="K89" s="11"/>
      <c r="L89" s="68"/>
    </row>
    <row r="90" spans="1:16" x14ac:dyDescent="0.3">
      <c r="B90" s="20" t="s">
        <v>254</v>
      </c>
      <c r="C90" s="20">
        <v>480</v>
      </c>
      <c r="D90" s="20">
        <v>3</v>
      </c>
      <c r="F90" s="156" t="s">
        <v>468</v>
      </c>
      <c r="G90" s="12" t="s">
        <v>307</v>
      </c>
      <c r="H90" s="14" t="s">
        <v>76</v>
      </c>
      <c r="I90" s="14"/>
      <c r="J90" s="11"/>
      <c r="K90" s="11"/>
      <c r="L90" s="68"/>
    </row>
    <row r="91" spans="1:16" x14ac:dyDescent="0.3">
      <c r="B91" s="20" t="s">
        <v>255</v>
      </c>
      <c r="C91" s="20">
        <v>34500</v>
      </c>
      <c r="D91" s="20">
        <v>3</v>
      </c>
      <c r="F91" s="156" t="s">
        <v>473</v>
      </c>
      <c r="G91" s="12" t="s">
        <v>307</v>
      </c>
      <c r="H91" s="14" t="s">
        <v>558</v>
      </c>
      <c r="I91" s="14"/>
      <c r="J91" s="11"/>
      <c r="K91" s="11"/>
      <c r="L91" s="68"/>
    </row>
    <row r="92" spans="1:16" x14ac:dyDescent="0.3">
      <c r="B92" s="20" t="s">
        <v>256</v>
      </c>
      <c r="C92" s="20">
        <v>480</v>
      </c>
      <c r="D92" s="20">
        <v>3</v>
      </c>
      <c r="F92" s="156" t="s">
        <v>469</v>
      </c>
      <c r="G92" s="12" t="s">
        <v>307</v>
      </c>
      <c r="H92" s="12" t="s">
        <v>60</v>
      </c>
      <c r="I92" s="14"/>
      <c r="J92" s="11"/>
      <c r="K92" s="11"/>
      <c r="L92" s="68"/>
    </row>
    <row r="93" spans="1:16" x14ac:dyDescent="0.3">
      <c r="F93" s="156" t="s">
        <v>466</v>
      </c>
      <c r="G93" s="12" t="s">
        <v>307</v>
      </c>
      <c r="H93" s="14">
        <v>3</v>
      </c>
      <c r="I93" s="14"/>
      <c r="J93" s="11"/>
      <c r="K93" s="11"/>
      <c r="L93" s="68"/>
    </row>
    <row r="94" spans="1:16" x14ac:dyDescent="0.3">
      <c r="F94" s="156" t="s">
        <v>467</v>
      </c>
      <c r="G94" s="12" t="s">
        <v>307</v>
      </c>
      <c r="H94" s="14">
        <v>4</v>
      </c>
      <c r="I94" s="14" t="s">
        <v>1</v>
      </c>
      <c r="J94" s="11"/>
      <c r="K94" s="11"/>
      <c r="L94" s="68"/>
    </row>
    <row r="95" spans="1:16" x14ac:dyDescent="0.3">
      <c r="F95" s="156" t="s">
        <v>464</v>
      </c>
      <c r="G95" s="12" t="s">
        <v>306</v>
      </c>
      <c r="I95" s="11"/>
      <c r="J95" s="11"/>
      <c r="K95" s="11"/>
      <c r="L95" s="11"/>
      <c r="M95" s="68"/>
    </row>
    <row r="96" spans="1:16" ht="26" x14ac:dyDescent="0.3">
      <c r="A96" s="14"/>
      <c r="B96" s="12" t="s">
        <v>613</v>
      </c>
      <c r="C96" s="69" t="s">
        <v>260</v>
      </c>
      <c r="D96" s="69" t="s">
        <v>44</v>
      </c>
      <c r="F96" s="156" t="s">
        <v>470</v>
      </c>
      <c r="G96" s="12" t="s">
        <v>306</v>
      </c>
      <c r="I96" s="11"/>
      <c r="J96" s="11"/>
      <c r="K96" s="11"/>
      <c r="L96" s="11"/>
    </row>
    <row r="97" spans="2:12" x14ac:dyDescent="0.3">
      <c r="B97" s="14" t="s">
        <v>134</v>
      </c>
      <c r="C97" s="15">
        <v>0.75</v>
      </c>
      <c r="D97" s="16">
        <v>16</v>
      </c>
      <c r="F97" s="156" t="s">
        <v>465</v>
      </c>
      <c r="G97" s="12" t="s">
        <v>306</v>
      </c>
      <c r="H97" s="2" t="s">
        <v>1</v>
      </c>
      <c r="I97" s="11"/>
      <c r="J97" s="11"/>
      <c r="K97" s="11"/>
      <c r="L97" s="11"/>
    </row>
    <row r="98" spans="2:12" x14ac:dyDescent="0.3">
      <c r="B98" s="14" t="s">
        <v>541</v>
      </c>
      <c r="C98" s="15">
        <v>1</v>
      </c>
      <c r="D98" s="14">
        <v>52</v>
      </c>
      <c r="F98" s="156" t="s">
        <v>463</v>
      </c>
      <c r="G98" s="12" t="s">
        <v>305</v>
      </c>
      <c r="H98" s="11"/>
      <c r="I98" s="11"/>
      <c r="J98" s="11"/>
      <c r="K98" s="11"/>
      <c r="L98" s="11"/>
    </row>
    <row r="99" spans="2:12" x14ac:dyDescent="0.3">
      <c r="B99" s="14" t="s">
        <v>51</v>
      </c>
      <c r="C99" s="15">
        <v>0.75</v>
      </c>
      <c r="D99" s="14">
        <v>52</v>
      </c>
      <c r="F99" s="156" t="s">
        <v>462</v>
      </c>
      <c r="G99" s="12" t="s">
        <v>305</v>
      </c>
      <c r="H99" s="11"/>
      <c r="I99" s="11" t="s">
        <v>1</v>
      </c>
      <c r="J99" s="11"/>
    </row>
    <row r="100" spans="2:12" x14ac:dyDescent="0.3">
      <c r="B100" s="14" t="s">
        <v>52</v>
      </c>
      <c r="C100" s="15">
        <v>0.4</v>
      </c>
      <c r="D100" s="14">
        <v>52</v>
      </c>
      <c r="E100" s="11"/>
      <c r="F100" s="156" t="s">
        <v>502</v>
      </c>
      <c r="G100" s="12" t="s">
        <v>503</v>
      </c>
      <c r="J100" s="11"/>
    </row>
    <row r="101" spans="2:12" x14ac:dyDescent="0.3">
      <c r="B101" s="14" t="s">
        <v>113</v>
      </c>
      <c r="C101" s="15">
        <v>0.8</v>
      </c>
      <c r="D101" s="14">
        <v>52</v>
      </c>
      <c r="E101" s="11"/>
      <c r="F101" s="12" t="s">
        <v>142</v>
      </c>
      <c r="G101" s="12" t="s">
        <v>161</v>
      </c>
      <c r="H101" s="12" t="s">
        <v>258</v>
      </c>
      <c r="J101" s="11"/>
    </row>
    <row r="102" spans="2:12" x14ac:dyDescent="0.3">
      <c r="B102" s="95" t="s">
        <v>497</v>
      </c>
      <c r="C102" s="15">
        <v>1</v>
      </c>
      <c r="D102" s="14">
        <v>52</v>
      </c>
      <c r="E102" s="11"/>
    </row>
    <row r="103" spans="2:12" ht="25.5" x14ac:dyDescent="0.3">
      <c r="B103" s="14" t="s">
        <v>314</v>
      </c>
      <c r="C103" s="15">
        <v>0.6</v>
      </c>
      <c r="D103" s="14">
        <v>52</v>
      </c>
      <c r="E103" s="11"/>
      <c r="F103" s="13" t="s">
        <v>233</v>
      </c>
      <c r="G103" s="13" t="s">
        <v>162</v>
      </c>
      <c r="H103" s="14" t="s">
        <v>57</v>
      </c>
    </row>
    <row r="104" spans="2:12" x14ac:dyDescent="0.3">
      <c r="B104" s="14" t="s">
        <v>317</v>
      </c>
      <c r="C104" s="15">
        <v>0.75</v>
      </c>
      <c r="D104" s="16">
        <v>36</v>
      </c>
      <c r="F104" s="11" t="s">
        <v>144</v>
      </c>
      <c r="G104" s="11" t="s">
        <v>504</v>
      </c>
      <c r="H104" s="14" t="s">
        <v>29</v>
      </c>
    </row>
    <row r="105" spans="2:12" x14ac:dyDescent="0.3">
      <c r="B105" s="14" t="s">
        <v>53</v>
      </c>
      <c r="C105" s="15">
        <v>0.5</v>
      </c>
      <c r="D105" s="14">
        <v>52</v>
      </c>
      <c r="F105" s="11" t="s">
        <v>143</v>
      </c>
      <c r="G105" s="11" t="s">
        <v>159</v>
      </c>
    </row>
    <row r="106" spans="2:12" x14ac:dyDescent="0.3">
      <c r="B106" s="14" t="s">
        <v>41</v>
      </c>
      <c r="C106" s="15">
        <v>1</v>
      </c>
      <c r="D106" s="14">
        <v>52</v>
      </c>
      <c r="F106" s="11" t="s">
        <v>320</v>
      </c>
      <c r="G106" s="11" t="s">
        <v>159</v>
      </c>
      <c r="H106" s="14"/>
    </row>
    <row r="107" spans="2:12" ht="19.5" customHeight="1" x14ac:dyDescent="0.3">
      <c r="B107" s="14" t="s">
        <v>311</v>
      </c>
      <c r="C107" s="15">
        <v>0.5</v>
      </c>
      <c r="D107" s="14">
        <v>52</v>
      </c>
      <c r="F107" s="11" t="s">
        <v>321</v>
      </c>
      <c r="G107" s="11" t="s">
        <v>159</v>
      </c>
    </row>
    <row r="108" spans="2:12" x14ac:dyDescent="0.3">
      <c r="B108" s="14" t="s">
        <v>318</v>
      </c>
      <c r="C108" s="15">
        <v>1</v>
      </c>
      <c r="D108" s="14">
        <v>52</v>
      </c>
      <c r="F108" s="11" t="s">
        <v>94</v>
      </c>
      <c r="G108" s="11" t="s">
        <v>81</v>
      </c>
    </row>
    <row r="109" spans="2:12" x14ac:dyDescent="0.3">
      <c r="B109" s="14" t="s">
        <v>315</v>
      </c>
      <c r="C109" s="15">
        <v>0.3</v>
      </c>
      <c r="D109" s="14">
        <v>52</v>
      </c>
      <c r="E109" s="11"/>
      <c r="F109" s="12" t="s">
        <v>59</v>
      </c>
      <c r="G109" s="12" t="s">
        <v>259</v>
      </c>
    </row>
    <row r="110" spans="2:12" x14ac:dyDescent="0.3">
      <c r="B110" s="14" t="s">
        <v>316</v>
      </c>
      <c r="C110" s="15">
        <v>0.5</v>
      </c>
      <c r="D110" s="14">
        <v>52</v>
      </c>
      <c r="E110" s="11"/>
      <c r="F110" s="14" t="s">
        <v>108</v>
      </c>
      <c r="G110" s="14" t="s">
        <v>58</v>
      </c>
    </row>
    <row r="111" spans="2:12" x14ac:dyDescent="0.3">
      <c r="B111" s="14" t="s">
        <v>54</v>
      </c>
      <c r="C111" s="15">
        <v>0.1</v>
      </c>
      <c r="D111" s="14">
        <v>52</v>
      </c>
      <c r="F111" s="14" t="s">
        <v>107</v>
      </c>
      <c r="G111" s="14" t="s">
        <v>30</v>
      </c>
    </row>
    <row r="112" spans="2:12" x14ac:dyDescent="0.3">
      <c r="B112" s="14" t="s">
        <v>56</v>
      </c>
      <c r="C112" s="15">
        <v>0.5</v>
      </c>
      <c r="D112" s="14">
        <v>52</v>
      </c>
      <c r="F112" s="14" t="s">
        <v>322</v>
      </c>
    </row>
    <row r="113" spans="1:6" ht="12.5" x14ac:dyDescent="0.25">
      <c r="A113" s="25"/>
      <c r="B113" s="14" t="s">
        <v>310</v>
      </c>
      <c r="C113" s="15">
        <v>0.3</v>
      </c>
      <c r="D113" s="14">
        <v>52</v>
      </c>
    </row>
    <row r="114" spans="1:6" x14ac:dyDescent="0.3">
      <c r="B114" s="95" t="s">
        <v>313</v>
      </c>
      <c r="C114" s="15">
        <v>0</v>
      </c>
      <c r="D114" s="14">
        <v>52</v>
      </c>
      <c r="F114" s="12" t="s">
        <v>136</v>
      </c>
    </row>
    <row r="115" spans="1:6" x14ac:dyDescent="0.3">
      <c r="F115" s="27" t="s">
        <v>89</v>
      </c>
    </row>
    <row r="116" spans="1:6" x14ac:dyDescent="0.3">
      <c r="F116" s="27" t="s">
        <v>90</v>
      </c>
    </row>
    <row r="117" spans="1:6" ht="15.75" customHeight="1" x14ac:dyDescent="0.3">
      <c r="B117" s="12" t="s">
        <v>539</v>
      </c>
      <c r="C117" s="69" t="s">
        <v>260</v>
      </c>
      <c r="D117" s="69" t="s">
        <v>44</v>
      </c>
      <c r="F117" s="27" t="s">
        <v>91</v>
      </c>
    </row>
    <row r="118" spans="1:6" x14ac:dyDescent="0.3">
      <c r="B118" s="14" t="s">
        <v>541</v>
      </c>
      <c r="C118" s="15">
        <v>1</v>
      </c>
      <c r="D118" s="14">
        <v>52</v>
      </c>
      <c r="F118" s="27" t="s">
        <v>283</v>
      </c>
    </row>
    <row r="119" spans="1:6" x14ac:dyDescent="0.3">
      <c r="B119" s="14" t="s">
        <v>51</v>
      </c>
      <c r="C119" s="15">
        <v>0.75</v>
      </c>
      <c r="D119" s="14">
        <v>52</v>
      </c>
      <c r="F119" s="27" t="s">
        <v>92</v>
      </c>
    </row>
    <row r="120" spans="1:6" x14ac:dyDescent="0.3">
      <c r="B120" s="14" t="s">
        <v>52</v>
      </c>
      <c r="C120" s="15">
        <v>0.4</v>
      </c>
      <c r="D120" s="14">
        <v>52</v>
      </c>
      <c r="F120" s="27" t="s">
        <v>93</v>
      </c>
    </row>
    <row r="121" spans="1:6" x14ac:dyDescent="0.3">
      <c r="B121" s="14" t="s">
        <v>113</v>
      </c>
      <c r="C121" s="15">
        <v>0.8</v>
      </c>
      <c r="D121" s="14">
        <v>52</v>
      </c>
      <c r="F121" s="27" t="s">
        <v>95</v>
      </c>
    </row>
    <row r="122" spans="1:6" x14ac:dyDescent="0.3">
      <c r="B122" s="95" t="s">
        <v>497</v>
      </c>
      <c r="C122" s="15">
        <v>1</v>
      </c>
      <c r="D122" s="14">
        <v>52</v>
      </c>
      <c r="F122" s="27" t="s">
        <v>96</v>
      </c>
    </row>
    <row r="123" spans="1:6" x14ac:dyDescent="0.3">
      <c r="B123" s="14" t="s">
        <v>314</v>
      </c>
      <c r="C123" s="15">
        <v>0.6</v>
      </c>
      <c r="D123" s="14">
        <v>52</v>
      </c>
      <c r="F123" s="27" t="s">
        <v>97</v>
      </c>
    </row>
    <row r="124" spans="1:6" x14ac:dyDescent="0.3">
      <c r="B124" s="14" t="s">
        <v>53</v>
      </c>
      <c r="C124" s="15">
        <v>0.5</v>
      </c>
      <c r="D124" s="14">
        <v>52</v>
      </c>
      <c r="F124" s="27" t="s">
        <v>88</v>
      </c>
    </row>
    <row r="125" spans="1:6" x14ac:dyDescent="0.3">
      <c r="B125" s="14" t="s">
        <v>41</v>
      </c>
      <c r="C125" s="15">
        <v>1</v>
      </c>
      <c r="D125" s="14">
        <v>52</v>
      </c>
      <c r="F125" s="27" t="s">
        <v>98</v>
      </c>
    </row>
    <row r="126" spans="1:6" x14ac:dyDescent="0.3">
      <c r="B126" s="14" t="s">
        <v>311</v>
      </c>
      <c r="C126" s="15">
        <v>0.5</v>
      </c>
      <c r="D126" s="14">
        <v>52</v>
      </c>
      <c r="F126" s="27" t="s">
        <v>99</v>
      </c>
    </row>
    <row r="127" spans="1:6" x14ac:dyDescent="0.3">
      <c r="B127" s="14" t="s">
        <v>318</v>
      </c>
      <c r="C127" s="15">
        <v>1</v>
      </c>
      <c r="D127" s="14">
        <v>52</v>
      </c>
      <c r="F127" s="27"/>
    </row>
    <row r="128" spans="1:6" x14ac:dyDescent="0.3">
      <c r="B128" s="14" t="s">
        <v>315</v>
      </c>
      <c r="C128" s="15">
        <v>0.3</v>
      </c>
      <c r="D128" s="14">
        <v>52</v>
      </c>
    </row>
    <row r="129" spans="2:5" x14ac:dyDescent="0.3">
      <c r="B129" s="14" t="s">
        <v>316</v>
      </c>
      <c r="C129" s="15">
        <v>0.5</v>
      </c>
      <c r="D129" s="14">
        <v>52</v>
      </c>
    </row>
    <row r="130" spans="2:5" x14ac:dyDescent="0.3">
      <c r="B130" s="14" t="s">
        <v>54</v>
      </c>
      <c r="C130" s="15">
        <v>0.1</v>
      </c>
      <c r="D130" s="14">
        <v>52</v>
      </c>
    </row>
    <row r="131" spans="2:5" x14ac:dyDescent="0.3">
      <c r="B131" s="14" t="s">
        <v>56</v>
      </c>
      <c r="C131" s="15">
        <v>0.5</v>
      </c>
      <c r="D131" s="14">
        <v>52</v>
      </c>
    </row>
    <row r="132" spans="2:5" x14ac:dyDescent="0.3">
      <c r="B132" s="14" t="s">
        <v>310</v>
      </c>
      <c r="C132" s="15">
        <v>0.3</v>
      </c>
      <c r="D132" s="14">
        <v>52</v>
      </c>
    </row>
    <row r="133" spans="2:5" x14ac:dyDescent="0.3">
      <c r="B133" s="95" t="s">
        <v>313</v>
      </c>
      <c r="C133" s="15">
        <v>0</v>
      </c>
      <c r="D133" s="14">
        <v>52</v>
      </c>
    </row>
    <row r="136" spans="2:5" ht="26" x14ac:dyDescent="0.3">
      <c r="B136" s="12" t="s">
        <v>540</v>
      </c>
      <c r="C136" s="69" t="s">
        <v>260</v>
      </c>
      <c r="D136" s="69" t="s">
        <v>44</v>
      </c>
    </row>
    <row r="137" spans="2:5" x14ac:dyDescent="0.3">
      <c r="B137" s="14" t="s">
        <v>134</v>
      </c>
      <c r="C137" s="15">
        <v>0.75</v>
      </c>
      <c r="D137" s="14">
        <v>16</v>
      </c>
      <c r="E137" s="11"/>
    </row>
    <row r="138" spans="2:5" x14ac:dyDescent="0.3">
      <c r="B138" s="14" t="s">
        <v>317</v>
      </c>
      <c r="C138" s="15">
        <v>0.75</v>
      </c>
      <c r="D138" s="14">
        <v>36</v>
      </c>
      <c r="E138" s="11"/>
    </row>
    <row r="139" spans="2:5" x14ac:dyDescent="0.3">
      <c r="B139" s="14" t="s">
        <v>313</v>
      </c>
      <c r="C139" s="15">
        <v>0</v>
      </c>
      <c r="D139" s="14">
        <v>52</v>
      </c>
      <c r="E139" s="11"/>
    </row>
    <row r="140" spans="2:5" x14ac:dyDescent="0.3">
      <c r="E140" s="11"/>
    </row>
    <row r="141" spans="2:5" x14ac:dyDescent="0.3">
      <c r="E141" s="11"/>
    </row>
    <row r="142" spans="2:5" x14ac:dyDescent="0.3">
      <c r="E142" s="11"/>
    </row>
    <row r="143" spans="2:5" x14ac:dyDescent="0.3">
      <c r="E143" s="11"/>
    </row>
    <row r="144" spans="2:5" x14ac:dyDescent="0.3">
      <c r="E144" s="11"/>
    </row>
    <row r="145" spans="5:5" x14ac:dyDescent="0.3">
      <c r="E145" s="11"/>
    </row>
    <row r="146" spans="5:5" x14ac:dyDescent="0.3">
      <c r="E146" s="11"/>
    </row>
    <row r="147" spans="5:5" x14ac:dyDescent="0.3">
      <c r="E147" s="11"/>
    </row>
    <row r="148" spans="5:5" x14ac:dyDescent="0.3">
      <c r="E148" s="11"/>
    </row>
    <row r="149" spans="5:5" x14ac:dyDescent="0.3">
      <c r="E149" s="11"/>
    </row>
    <row r="150" spans="5:5" x14ac:dyDescent="0.3">
      <c r="E150" s="11"/>
    </row>
    <row r="151" spans="5:5" x14ac:dyDescent="0.3">
      <c r="E151" s="11"/>
    </row>
    <row r="152" spans="5:5" x14ac:dyDescent="0.3">
      <c r="E152" s="11"/>
    </row>
    <row r="153" spans="5:5" x14ac:dyDescent="0.3">
      <c r="E153" s="11"/>
    </row>
    <row r="154" spans="5:5" x14ac:dyDescent="0.3">
      <c r="E154" s="11"/>
    </row>
  </sheetData>
  <sheetProtection algorithmName="SHA-512" hashValue="4sMO4UbcWzF4NVY9ydQ2ooBKIcS1z7CBC98qWc07I8U5yT+hd2bpVbOCPVzPdl+TlS2hvks4HzuyEcc561vGBA==" saltValue="xVGoR4fhInytq4DIKyvxUw==" spinCount="100000" sheet="1" objects="1" scenarios="1"/>
  <protectedRanges>
    <protectedRange sqref="B66:B67" name="Res Heating Drop Down"/>
    <protectedRange sqref="B38:B53" name="Commercial Loads Column B Dropdown"/>
    <protectedRange sqref="M37" name="Range1"/>
    <protectedRange sqref="L39:M39" name="Range2"/>
    <protectedRange sqref="L41:M41" name="Range3"/>
    <protectedRange sqref="K43" name="Range4"/>
    <protectedRange sqref="L45" name="Range5"/>
    <protectedRange sqref="M47" name="Range6"/>
    <protectedRange sqref="L49:M49" name="Range7"/>
    <protectedRange sqref="L51:M51" name="Range8"/>
    <protectedRange sqref="L54" name="Range9"/>
    <protectedRange sqref="B57:B64" name="Res Loads Drop Down"/>
  </protectedRanges>
  <sortState xmlns:xlrd2="http://schemas.microsoft.com/office/spreadsheetml/2017/richdata2" ref="F78:J86">
    <sortCondition ref="F78:F86"/>
  </sortState>
  <mergeCells count="28">
    <mergeCell ref="A38:A53"/>
    <mergeCell ref="A57:A68"/>
    <mergeCell ref="D33:E33"/>
    <mergeCell ref="B21:B22"/>
    <mergeCell ref="C72:H72"/>
    <mergeCell ref="G34:H34"/>
    <mergeCell ref="B36:H36"/>
    <mergeCell ref="B56:H56"/>
    <mergeCell ref="D34:F34"/>
    <mergeCell ref="C21:C22"/>
    <mergeCell ref="E24:F24"/>
    <mergeCell ref="B30:H30"/>
    <mergeCell ref="C13:H13"/>
    <mergeCell ref="C73:H73"/>
    <mergeCell ref="J31:O32"/>
    <mergeCell ref="B2:H2"/>
    <mergeCell ref="D6:F6"/>
    <mergeCell ref="F32:G32"/>
    <mergeCell ref="E23:F23"/>
    <mergeCell ref="B8:H8"/>
    <mergeCell ref="C10:H10"/>
    <mergeCell ref="G31:H31"/>
    <mergeCell ref="C15:H15"/>
    <mergeCell ref="C17:H17"/>
    <mergeCell ref="D5:F5"/>
    <mergeCell ref="C12:E12"/>
    <mergeCell ref="C18:F18"/>
    <mergeCell ref="B20:H20"/>
  </mergeCells>
  <dataValidations xWindow="968" yWindow="539" count="19">
    <dataValidation errorStyle="warning" allowBlank="1" showErrorMessage="1" errorTitle="Enter Whole Numbers" error="Enter Whole Numbers" prompt="Enter Whole Numbers" sqref="H38:H53 H57:H69" xr:uid="{CBE6572C-729C-45F1-8A83-F1E4F12E8E98}">
      <formula1>0</formula1>
      <formula2>0</formula2>
    </dataValidation>
    <dataValidation type="decimal" allowBlank="1" showInputMessage="1" showErrorMessage="1" errorTitle="Enter numbers from 0.0-2000.0" sqref="C65 G38:G55 C68:C69 C54:D55 E38:E55 D57:E69 G57:G69" xr:uid="{4FC40F5D-B6CD-42E9-A15B-38E7A1A74A0C}">
      <formula1>0</formula1>
      <formula2>2000</formula2>
    </dataValidation>
    <dataValidation type="list" allowBlank="1" showInputMessage="1" showErrorMessage="1" sqref="B38:B53" xr:uid="{5293CEC9-3E6B-4193-8D03-3C633AF00F88}">
      <formula1>COMM_LIST_LOAD_TYPE</formula1>
    </dataValidation>
    <dataValidation type="decimal" allowBlank="1" showInputMessage="1" showErrorMessage="1" errorTitle="Enter numbers from 0.0-2000.0" sqref="C66:C67 C38:D53 C57:C64" xr:uid="{D9EEEC08-0F52-4452-B196-4A756361B1AD}">
      <formula1>0</formula1>
      <formula2>5000</formula2>
    </dataValidation>
    <dataValidation type="list" allowBlank="1" showInputMessage="1" showErrorMessage="1" sqref="G11" xr:uid="{415400DF-522F-4B6D-A629-0920EA06C699}">
      <formula1>$B$77:$B$79</formula1>
    </dataValidation>
    <dataValidation type="list" allowBlank="1" showInputMessage="1" showErrorMessage="1" sqref="H9" xr:uid="{8126CB1D-D2D1-4B2B-962F-649A25C2E33B}">
      <formula1>S_C_LIST</formula1>
    </dataValidation>
    <dataValidation type="list" allowBlank="1" showInputMessage="1" showErrorMessage="1" sqref="C21" xr:uid="{EA4A9940-BAE2-41A9-BF8D-FE31BCD11B70}">
      <formula1>$H$88:$H$91</formula1>
    </dataValidation>
    <dataValidation type="list" allowBlank="1" showInputMessage="1" showErrorMessage="1" sqref="G12" xr:uid="{E6BCE279-0428-4FCA-BA7E-BE4AF7DCDEB2}">
      <formula1>$F$88:$F$100</formula1>
    </dataValidation>
    <dataValidation type="list" allowBlank="1" showInputMessage="1" showErrorMessage="1" sqref="H25" xr:uid="{9396C23E-5CEC-48C7-82EC-11DFFAD9DF19}">
      <formula1>$H$93:$H$94</formula1>
    </dataValidation>
    <dataValidation type="list" allowBlank="1" showInputMessage="1" showErrorMessage="1" sqref="B66:B67" xr:uid="{63E3D1C1-6DC0-4D7C-93E6-5022E78296FE}">
      <formula1>RES_LOAD_TYPE_HVAC</formula1>
    </dataValidation>
    <dataValidation type="list" allowBlank="1" showInputMessage="1" showErrorMessage="1" sqref="B57:B64" xr:uid="{3AD3BA67-527E-4B2D-8B64-B9129939311E}">
      <formula1>RES_LOAD_TYPE_NON_HVAC</formula1>
    </dataValidation>
    <dataValidation type="list" allowBlank="1" showInputMessage="1" showErrorMessage="1" sqref="D28" xr:uid="{3CA0913A-DA8A-4CF3-8530-8D34586CCAF2}">
      <formula1>$F$110:$F$112</formula1>
    </dataValidation>
    <dataValidation type="list" allowBlank="1" showInputMessage="1" showErrorMessage="1" sqref="F28" xr:uid="{3FA5E8B2-E406-4555-A2B5-50C685C66AC3}">
      <formula1>$G$110:$G$111</formula1>
    </dataValidation>
    <dataValidation type="list" allowBlank="1" showInputMessage="1" showErrorMessage="1" sqref="D25" xr:uid="{C54DCB4C-9D0B-4901-9BAD-6071E33E0585}">
      <formula1>$B$81:$B$92</formula1>
    </dataValidation>
    <dataValidation type="list" allowBlank="1" showInputMessage="1" showErrorMessage="1" sqref="F30" xr:uid="{A53BEDCA-1A46-43DC-9483-ADCD89343EB8}">
      <formula1>G$104:G$105</formula1>
      <formula2>0</formula2>
    </dataValidation>
    <dataValidation type="list" allowBlank="1" showInputMessage="1" showErrorMessage="1" sqref="D30" xr:uid="{6C44BA18-C3BE-4350-A3F8-4779D26A9ECB}">
      <formula1>$F$104:$F$106</formula1>
      <formula2>0</formula2>
    </dataValidation>
    <dataValidation type="list" allowBlank="1" showInputMessage="1" showErrorMessage="1" sqref="D31" xr:uid="{5AA450C5-5FCD-4534-B3C0-D41C76C6B87D}">
      <formula1>$H$103:$H$104</formula1>
    </dataValidation>
    <dataValidation type="list" allowBlank="1" showErrorMessage="1" sqref="F31" xr:uid="{033F7AC2-E1EC-4E2D-AC5A-36F8C0004165}">
      <formula1>$F$102:$F$108</formula1>
    </dataValidation>
    <dataValidation type="list" allowBlank="1" showInputMessage="1" showErrorMessage="1" sqref="D4" xr:uid="{00000000-0002-0000-0000-00000E000000}">
      <formula1>F$78:F$86</formula1>
    </dataValidation>
  </dataValidations>
  <hyperlinks>
    <hyperlink ref="I78" r:id="rId1" xr:uid="{00000000-0004-0000-0000-000000000000}"/>
    <hyperlink ref="I80" r:id="rId2" xr:uid="{00000000-0004-0000-0000-000001000000}"/>
    <hyperlink ref="I84" r:id="rId3" xr:uid="{70B5C241-10D5-4BB6-9DD8-7A29ECF5727B}"/>
    <hyperlink ref="I83" r:id="rId4" xr:uid="{00000000-0004-0000-0000-000003000000}"/>
  </hyperlinks>
  <pageMargins left="0.25" right="0.25" top="0.75" bottom="0.75" header="0.3" footer="0.3"/>
  <pageSetup scale="58" firstPageNumber="0" fitToHeight="2" orientation="portrait" r:id="rId5"/>
  <headerFooter alignWithMargins="0">
    <oddHeader>&amp;C&amp;A</oddHeader>
    <oddFooter>&amp;L&amp;D&amp;R&amp;F&amp;C&amp;"Calibri"&amp;11&amp;K000000&amp;"Calibri"&amp;11&amp;K000000&amp;A</oddFooter>
  </headerFooter>
  <rowBreaks count="1" manualBreakCount="1">
    <brk id="3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12C8-DA94-4E95-8490-F93DC0F84333}">
  <sheetPr codeName="Sheet2">
    <pageSetUpPr fitToPage="1"/>
  </sheetPr>
  <dimension ref="A1:L33"/>
  <sheetViews>
    <sheetView zoomScaleNormal="100" workbookViewId="0">
      <selection sqref="A1:L1"/>
    </sheetView>
  </sheetViews>
  <sheetFormatPr defaultColWidth="8.81640625" defaultRowHeight="12.5" x14ac:dyDescent="0.25"/>
  <sheetData>
    <row r="1" spans="1:12" ht="15.5" x14ac:dyDescent="0.35">
      <c r="A1" s="506" t="s">
        <v>511</v>
      </c>
      <c r="B1" s="506"/>
      <c r="C1" s="506"/>
      <c r="D1" s="506"/>
      <c r="E1" s="506"/>
      <c r="F1" s="506"/>
      <c r="G1" s="506"/>
      <c r="H1" s="506"/>
      <c r="I1" s="506"/>
      <c r="J1" s="506"/>
      <c r="K1" s="506"/>
      <c r="L1" s="506"/>
    </row>
    <row r="2" spans="1:12" x14ac:dyDescent="0.25">
      <c r="A2" s="218"/>
      <c r="B2" s="218"/>
      <c r="C2" s="218"/>
      <c r="D2" s="218"/>
      <c r="E2" s="218"/>
      <c r="F2" s="218"/>
      <c r="G2" s="218"/>
      <c r="H2" s="218"/>
      <c r="I2" s="218"/>
      <c r="J2" s="218"/>
      <c r="K2" s="218"/>
      <c r="L2" s="218"/>
    </row>
    <row r="3" spans="1:12" ht="14" x14ac:dyDescent="0.3">
      <c r="A3" s="219" t="s">
        <v>513</v>
      </c>
      <c r="B3" s="218"/>
      <c r="C3" s="218"/>
      <c r="D3" s="218"/>
      <c r="E3" s="218"/>
      <c r="F3" s="218"/>
      <c r="G3" s="218"/>
      <c r="H3" s="218"/>
      <c r="I3" s="218"/>
      <c r="J3" s="218"/>
      <c r="K3" s="218"/>
      <c r="L3" s="218"/>
    </row>
    <row r="4" spans="1:12" ht="41.25" customHeight="1" x14ac:dyDescent="0.25">
      <c r="A4" s="507" t="s">
        <v>536</v>
      </c>
      <c r="B4" s="507"/>
      <c r="C4" s="507"/>
      <c r="D4" s="507"/>
      <c r="E4" s="507"/>
      <c r="F4" s="507"/>
      <c r="G4" s="507"/>
      <c r="H4" s="507"/>
      <c r="I4" s="507"/>
      <c r="J4" s="507"/>
      <c r="K4" s="507"/>
      <c r="L4" s="507"/>
    </row>
    <row r="5" spans="1:12" x14ac:dyDescent="0.25">
      <c r="A5" s="218"/>
      <c r="B5" s="218"/>
      <c r="C5" s="218"/>
      <c r="D5" s="218"/>
      <c r="E5" s="218"/>
      <c r="F5" s="218"/>
      <c r="G5" s="218"/>
      <c r="H5" s="218"/>
      <c r="I5" s="218"/>
      <c r="J5" s="218"/>
      <c r="K5" s="218"/>
      <c r="L5" s="218"/>
    </row>
    <row r="6" spans="1:12" ht="14" x14ac:dyDescent="0.3">
      <c r="A6" s="219" t="s">
        <v>512</v>
      </c>
      <c r="B6" s="218"/>
      <c r="C6" s="218"/>
      <c r="D6" s="218"/>
      <c r="E6" s="218"/>
      <c r="F6" s="218"/>
      <c r="G6" s="218"/>
      <c r="H6" s="218"/>
      <c r="I6" s="218"/>
      <c r="J6" s="218"/>
      <c r="K6" s="218"/>
      <c r="L6" s="218"/>
    </row>
    <row r="7" spans="1:12" x14ac:dyDescent="0.25">
      <c r="A7" s="218" t="s">
        <v>515</v>
      </c>
      <c r="B7" s="218"/>
      <c r="C7" s="218"/>
      <c r="D7" s="218"/>
      <c r="E7" s="218"/>
      <c r="F7" s="218"/>
      <c r="G7" s="218"/>
      <c r="H7" s="218"/>
      <c r="I7" s="218"/>
      <c r="J7" s="218"/>
      <c r="K7" s="218"/>
      <c r="L7" s="218"/>
    </row>
    <row r="8" spans="1:12" x14ac:dyDescent="0.25">
      <c r="A8" s="218"/>
      <c r="B8" s="218" t="s">
        <v>516</v>
      </c>
      <c r="C8" s="218"/>
      <c r="D8" s="218"/>
      <c r="E8" s="218"/>
      <c r="F8" s="218"/>
      <c r="G8" s="218"/>
      <c r="H8" s="218"/>
      <c r="I8" s="218"/>
      <c r="J8" s="218"/>
      <c r="K8" s="218"/>
      <c r="L8" s="218"/>
    </row>
    <row r="9" spans="1:12" ht="13" x14ac:dyDescent="0.3">
      <c r="A9" s="218"/>
      <c r="B9" s="218" t="s">
        <v>517</v>
      </c>
      <c r="C9" s="218"/>
      <c r="D9" s="218"/>
      <c r="E9" s="218"/>
      <c r="F9" s="218"/>
      <c r="G9" s="218"/>
      <c r="H9" s="218"/>
      <c r="I9" s="218"/>
      <c r="J9" s="218"/>
      <c r="K9" s="218"/>
      <c r="L9" s="218"/>
    </row>
    <row r="10" spans="1:12" x14ac:dyDescent="0.25">
      <c r="A10" s="218"/>
      <c r="B10" s="218"/>
      <c r="C10" s="218"/>
      <c r="D10" s="218"/>
      <c r="E10" s="218"/>
      <c r="F10" s="218"/>
      <c r="G10" s="218"/>
      <c r="H10" s="218"/>
      <c r="I10" s="218"/>
      <c r="J10" s="218"/>
      <c r="K10" s="218"/>
      <c r="L10" s="218"/>
    </row>
    <row r="11" spans="1:12" ht="14" x14ac:dyDescent="0.3">
      <c r="A11" s="219" t="s">
        <v>518</v>
      </c>
      <c r="B11" s="218"/>
      <c r="C11" s="218"/>
      <c r="D11" s="218"/>
      <c r="E11" s="218"/>
      <c r="F11" s="218"/>
      <c r="G11" s="218"/>
      <c r="H11" s="218"/>
      <c r="I11" s="218"/>
      <c r="J11" s="218"/>
      <c r="K11" s="218"/>
      <c r="L11" s="218"/>
    </row>
    <row r="12" spans="1:12" x14ac:dyDescent="0.25">
      <c r="A12" s="218" t="s">
        <v>529</v>
      </c>
      <c r="B12" s="218"/>
      <c r="C12" s="218"/>
      <c r="D12" s="218"/>
      <c r="E12" s="218"/>
      <c r="F12" s="218"/>
      <c r="G12" s="218"/>
      <c r="H12" s="218"/>
      <c r="I12" s="218"/>
      <c r="J12" s="218"/>
      <c r="K12" s="218"/>
      <c r="L12" s="218"/>
    </row>
    <row r="13" spans="1:12" x14ac:dyDescent="0.25">
      <c r="A13" s="218"/>
      <c r="B13" s="218" t="s">
        <v>527</v>
      </c>
      <c r="C13" s="218"/>
      <c r="D13" s="218"/>
      <c r="E13" s="218"/>
      <c r="F13" s="218"/>
      <c r="G13" s="218"/>
      <c r="H13" s="218"/>
      <c r="I13" s="218"/>
      <c r="J13" s="218"/>
      <c r="K13" s="218"/>
      <c r="L13" s="218"/>
    </row>
    <row r="14" spans="1:12" ht="13" x14ac:dyDescent="0.3">
      <c r="A14" s="218"/>
      <c r="B14" s="218" t="s">
        <v>519</v>
      </c>
      <c r="C14" s="218"/>
      <c r="D14" s="218"/>
      <c r="E14" s="218"/>
      <c r="F14" s="218"/>
      <c r="G14" s="218"/>
      <c r="H14" s="218"/>
      <c r="I14" s="218"/>
      <c r="J14" s="218"/>
      <c r="K14" s="218"/>
      <c r="L14" s="218"/>
    </row>
    <row r="15" spans="1:12" x14ac:dyDescent="0.25">
      <c r="A15" s="218"/>
      <c r="B15" s="218" t="s">
        <v>520</v>
      </c>
      <c r="C15" s="218"/>
      <c r="D15" s="218"/>
      <c r="E15" s="218"/>
      <c r="F15" s="218"/>
      <c r="G15" s="218"/>
      <c r="H15" s="218"/>
      <c r="I15" s="218"/>
      <c r="J15" s="218"/>
      <c r="K15" s="218"/>
      <c r="L15" s="218"/>
    </row>
    <row r="16" spans="1:12" x14ac:dyDescent="0.25">
      <c r="A16" s="218"/>
      <c r="B16" s="218" t="s">
        <v>521</v>
      </c>
      <c r="C16" s="218"/>
      <c r="D16" s="218"/>
      <c r="E16" s="218"/>
      <c r="F16" s="218"/>
      <c r="G16" s="218"/>
      <c r="H16" s="218"/>
      <c r="I16" s="218"/>
      <c r="J16" s="218"/>
      <c r="K16" s="218"/>
      <c r="L16" s="218"/>
    </row>
    <row r="17" spans="1:12" x14ac:dyDescent="0.25">
      <c r="A17" s="218"/>
      <c r="B17" s="218" t="s">
        <v>522</v>
      </c>
      <c r="C17" s="218"/>
      <c r="D17" s="218"/>
      <c r="E17" s="218"/>
      <c r="F17" s="218"/>
      <c r="G17" s="218"/>
      <c r="H17" s="218"/>
      <c r="I17" s="218"/>
      <c r="J17" s="218"/>
      <c r="K17" s="218"/>
      <c r="L17" s="218"/>
    </row>
    <row r="18" spans="1:12" x14ac:dyDescent="0.25">
      <c r="A18" s="218"/>
      <c r="B18" s="218" t="s">
        <v>523</v>
      </c>
      <c r="C18" s="218"/>
      <c r="D18" s="218"/>
      <c r="E18" s="218"/>
      <c r="F18" s="218"/>
      <c r="G18" s="218"/>
      <c r="H18" s="218"/>
      <c r="I18" s="218"/>
      <c r="J18" s="218"/>
      <c r="K18" s="218"/>
      <c r="L18" s="218"/>
    </row>
    <row r="19" spans="1:12" x14ac:dyDescent="0.25">
      <c r="A19" s="218"/>
      <c r="B19" s="218"/>
      <c r="C19" s="218"/>
      <c r="D19" s="218"/>
      <c r="E19" s="218"/>
      <c r="F19" s="218"/>
      <c r="G19" s="218"/>
      <c r="H19" s="218"/>
      <c r="I19" s="218"/>
      <c r="J19" s="218"/>
      <c r="K19" s="218"/>
      <c r="L19" s="218"/>
    </row>
    <row r="20" spans="1:12" ht="14" x14ac:dyDescent="0.3">
      <c r="A20" s="219" t="s">
        <v>524</v>
      </c>
      <c r="B20" s="218"/>
      <c r="C20" s="218"/>
      <c r="D20" s="218"/>
      <c r="E20" s="218"/>
      <c r="F20" s="218"/>
      <c r="G20" s="218"/>
      <c r="H20" s="218"/>
      <c r="I20" s="218"/>
      <c r="J20" s="218"/>
      <c r="K20" s="218"/>
      <c r="L20" s="218"/>
    </row>
    <row r="21" spans="1:12" ht="13" x14ac:dyDescent="0.3">
      <c r="A21" s="218" t="s">
        <v>533</v>
      </c>
      <c r="B21" s="218"/>
      <c r="C21" s="218"/>
      <c r="D21" s="218"/>
      <c r="E21" s="218"/>
      <c r="F21" s="218"/>
      <c r="G21" s="218"/>
      <c r="H21" s="218"/>
      <c r="I21" s="218"/>
      <c r="J21" s="218"/>
      <c r="K21" s="218"/>
      <c r="L21" s="218"/>
    </row>
    <row r="22" spans="1:12" x14ac:dyDescent="0.25">
      <c r="A22" s="218" t="s">
        <v>530</v>
      </c>
      <c r="B22" s="218"/>
      <c r="C22" s="218"/>
      <c r="D22" s="218"/>
      <c r="E22" s="218"/>
      <c r="F22" s="218"/>
      <c r="G22" s="218"/>
      <c r="H22" s="218"/>
      <c r="I22" s="218"/>
      <c r="J22" s="218"/>
      <c r="K22" s="218"/>
      <c r="L22" s="218"/>
    </row>
    <row r="23" spans="1:12" x14ac:dyDescent="0.25">
      <c r="A23" s="218" t="s">
        <v>528</v>
      </c>
      <c r="B23" s="218"/>
      <c r="C23" s="218"/>
      <c r="D23" s="218"/>
      <c r="E23" s="218"/>
      <c r="F23" s="218"/>
      <c r="G23" s="218"/>
      <c r="H23" s="218"/>
      <c r="I23" s="218"/>
      <c r="J23" s="218"/>
      <c r="K23" s="218"/>
      <c r="L23" s="218"/>
    </row>
    <row r="24" spans="1:12" x14ac:dyDescent="0.25">
      <c r="A24" s="218"/>
      <c r="B24" s="218"/>
      <c r="C24" s="218"/>
      <c r="D24" s="218"/>
      <c r="E24" s="218"/>
      <c r="F24" s="218"/>
      <c r="G24" s="218"/>
      <c r="H24" s="218"/>
      <c r="I24" s="218"/>
      <c r="J24" s="218"/>
      <c r="K24" s="218"/>
      <c r="L24" s="218"/>
    </row>
    <row r="25" spans="1:12" ht="14" x14ac:dyDescent="0.3">
      <c r="A25" s="219" t="s">
        <v>526</v>
      </c>
      <c r="B25" s="218"/>
      <c r="C25" s="218"/>
      <c r="D25" s="218"/>
      <c r="E25" s="218"/>
      <c r="F25" s="218"/>
      <c r="G25" s="218"/>
      <c r="H25" s="218"/>
      <c r="I25" s="218"/>
      <c r="J25" s="218"/>
      <c r="K25" s="218"/>
      <c r="L25" s="218"/>
    </row>
    <row r="26" spans="1:12" x14ac:dyDescent="0.25">
      <c r="A26" s="218" t="s">
        <v>535</v>
      </c>
      <c r="B26" s="218"/>
      <c r="C26" s="218"/>
      <c r="D26" s="218"/>
      <c r="E26" s="218"/>
      <c r="F26" s="218"/>
      <c r="G26" s="218"/>
      <c r="H26" s="218"/>
      <c r="I26" s="218"/>
      <c r="J26" s="218"/>
      <c r="K26" s="218"/>
      <c r="L26" s="218"/>
    </row>
    <row r="27" spans="1:12" x14ac:dyDescent="0.25">
      <c r="A27" s="218"/>
      <c r="B27" s="218"/>
      <c r="C27" s="218"/>
      <c r="D27" s="218"/>
      <c r="E27" s="218"/>
      <c r="F27" s="218"/>
      <c r="G27" s="218"/>
      <c r="H27" s="218"/>
      <c r="I27" s="218"/>
      <c r="J27" s="218"/>
      <c r="K27" s="218"/>
      <c r="L27" s="218"/>
    </row>
    <row r="28" spans="1:12" ht="14" x14ac:dyDescent="0.3">
      <c r="A28" s="219" t="s">
        <v>525</v>
      </c>
      <c r="B28" s="218"/>
      <c r="C28" s="218"/>
      <c r="D28" s="218"/>
      <c r="E28" s="218"/>
      <c r="F28" s="218"/>
      <c r="G28" s="218"/>
      <c r="H28" s="218"/>
      <c r="I28" s="218"/>
      <c r="J28" s="218"/>
      <c r="K28" s="218"/>
      <c r="L28" s="218"/>
    </row>
    <row r="29" spans="1:12" x14ac:dyDescent="0.25">
      <c r="A29" s="218" t="s">
        <v>534</v>
      </c>
      <c r="B29" s="218"/>
      <c r="C29" s="218"/>
      <c r="D29" s="218"/>
      <c r="E29" s="218"/>
      <c r="F29" s="218"/>
      <c r="G29" s="218"/>
      <c r="H29" s="218"/>
      <c r="I29" s="218"/>
      <c r="J29" s="218"/>
      <c r="K29" s="218"/>
      <c r="L29" s="218"/>
    </row>
    <row r="30" spans="1:12" x14ac:dyDescent="0.25">
      <c r="A30" s="218"/>
      <c r="B30" s="218"/>
      <c r="C30" s="218"/>
      <c r="D30" s="218"/>
      <c r="E30" s="218"/>
      <c r="F30" s="218"/>
      <c r="G30" s="218"/>
      <c r="H30" s="218"/>
      <c r="I30" s="218"/>
      <c r="J30" s="218"/>
      <c r="K30" s="218"/>
      <c r="L30" s="218"/>
    </row>
    <row r="31" spans="1:12" ht="14" x14ac:dyDescent="0.3">
      <c r="A31" s="219" t="s">
        <v>531</v>
      </c>
      <c r="B31" s="218"/>
      <c r="C31" s="218"/>
      <c r="D31" s="218"/>
      <c r="E31" s="218"/>
      <c r="F31" s="218"/>
      <c r="G31" s="218"/>
      <c r="H31" s="218"/>
      <c r="I31" s="218"/>
      <c r="J31" s="218"/>
      <c r="K31" s="218"/>
      <c r="L31" s="218"/>
    </row>
    <row r="32" spans="1:12" x14ac:dyDescent="0.25">
      <c r="A32" s="218" t="s">
        <v>532</v>
      </c>
      <c r="B32" s="218"/>
      <c r="C32" s="218"/>
      <c r="D32" s="218"/>
      <c r="E32" s="218"/>
      <c r="F32" s="218"/>
      <c r="G32" s="218"/>
      <c r="H32" s="218"/>
      <c r="I32" s="218"/>
      <c r="J32" s="218"/>
      <c r="K32" s="218"/>
      <c r="L32" s="218"/>
    </row>
    <row r="33" spans="1:12" x14ac:dyDescent="0.25">
      <c r="A33" s="218"/>
      <c r="B33" s="218"/>
      <c r="C33" s="218"/>
      <c r="D33" s="218"/>
      <c r="E33" s="218"/>
      <c r="F33" s="218"/>
      <c r="G33" s="218"/>
      <c r="H33" s="218"/>
      <c r="I33" s="218"/>
      <c r="J33" s="218"/>
      <c r="K33" s="218"/>
      <c r="L33" s="218"/>
    </row>
  </sheetData>
  <sheetProtection algorithmName="SHA-512" hashValue="2EJaXyKfMgR8QUQLPVxHYsM+7A9+LpSFfkWpR2zE9SvOaKlOGzJ+k3ZGoXDQL5sm/qEBPNFpqAf6qeHEyaSbGg==" saltValue="rdIDCPLkAZOZLp2ZUPWGzA==" spinCount="100000" sheet="1" objects="1" scenarios="1"/>
  <mergeCells count="2">
    <mergeCell ref="A1:L1"/>
    <mergeCell ref="A4:L4"/>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73"/>
  <sheetViews>
    <sheetView zoomScaleNormal="100" zoomScalePageLayoutView="62" workbookViewId="0">
      <selection activeCell="P41" sqref="P41"/>
    </sheetView>
  </sheetViews>
  <sheetFormatPr defaultColWidth="8.81640625" defaultRowHeight="12.5" x14ac:dyDescent="0.25"/>
  <cols>
    <col min="1" max="1" width="3.1796875" customWidth="1"/>
    <col min="2" max="2" width="35.1796875" customWidth="1"/>
    <col min="3" max="3" width="13" customWidth="1"/>
    <col min="4" max="4" width="9.1796875" bestFit="1" customWidth="1"/>
    <col min="5" max="5" width="11.453125" customWidth="1"/>
    <col min="6" max="6" width="8.54296875" customWidth="1"/>
    <col min="7" max="7" width="14.453125" customWidth="1"/>
    <col min="8" max="8" width="9.1796875" customWidth="1"/>
    <col min="9" max="9" width="21.54296875" bestFit="1" customWidth="1"/>
    <col min="10" max="10" width="0.54296875" customWidth="1"/>
    <col min="12" max="12" width="16" customWidth="1"/>
    <col min="13" max="13" width="15.453125" customWidth="1"/>
    <col min="14" max="14" width="11.81640625" customWidth="1"/>
    <col min="15" max="15" width="13.81640625" customWidth="1"/>
    <col min="16" max="16" width="21" bestFit="1" customWidth="1"/>
    <col min="17" max="17" width="13.453125" customWidth="1"/>
    <col min="18" max="18" width="9.1796875"/>
    <col min="24" max="24" width="12.1796875" customWidth="1"/>
  </cols>
  <sheetData>
    <row r="1" spans="1:25" ht="13" x14ac:dyDescent="0.3">
      <c r="A1" s="1" t="str">
        <f>'Customer Load Sheet'!A36</f>
        <v xml:space="preserve"> </v>
      </c>
      <c r="B1" s="1" t="str">
        <f>'Customer Load Sheet'!B36</f>
        <v>NEW CONNECTED COMMERCIAL LOADS:</v>
      </c>
      <c r="C1" s="5" t="str">
        <f>'Customer Load Sheet'!C36</f>
        <v xml:space="preserve"> </v>
      </c>
      <c r="D1" s="5"/>
      <c r="E1" s="4"/>
      <c r="F1" s="4"/>
      <c r="G1" s="4" t="str">
        <f>'Customer Load Sheet'!G36</f>
        <v xml:space="preserve"> </v>
      </c>
      <c r="H1" s="4"/>
      <c r="I1" s="5"/>
      <c r="L1" s="1" t="s">
        <v>111</v>
      </c>
      <c r="M1" s="2"/>
      <c r="N1" s="2"/>
      <c r="O1" s="2"/>
      <c r="P1" s="2"/>
      <c r="Q1" s="2"/>
    </row>
    <row r="2" spans="1:25" ht="93" customHeight="1" x14ac:dyDescent="0.3">
      <c r="A2" s="6"/>
      <c r="B2" s="7" t="str">
        <f>'Customer Load Sheet'!B37</f>
        <v>Enter Load Type-Use drop down in each cell</v>
      </c>
      <c r="C2" s="21" t="str">
        <f>'Customer Load Sheet'!C37</f>
        <v>New Connected Load KW</v>
      </c>
      <c r="D2" s="8" t="str">
        <f>'Customer Load Sheet'!D37</f>
        <v>NEC Projected KW if Available</v>
      </c>
      <c r="E2" s="8" t="str">
        <f>'Customer Load Sheet'!E37</f>
        <v>amps</v>
      </c>
      <c r="F2" s="8" t="str">
        <f>'Customer Load Sheet'!F37</f>
        <v>volts</v>
      </c>
      <c r="G2" s="8" t="str">
        <f>'Customer Load Sheet'!G37</f>
        <v>hrs/week</v>
      </c>
      <c r="H2" s="8" t="s">
        <v>167</v>
      </c>
      <c r="I2" s="9" t="str">
        <f>'Customer Load Sheet'!H37</f>
        <v>Comments</v>
      </c>
      <c r="J2" t="s">
        <v>1</v>
      </c>
      <c r="K2" s="96" t="s">
        <v>319</v>
      </c>
      <c r="L2" s="22" t="s">
        <v>170</v>
      </c>
      <c r="M2" s="22" t="s">
        <v>112</v>
      </c>
      <c r="N2" s="22" t="s">
        <v>124</v>
      </c>
      <c r="O2" s="22" t="s">
        <v>125</v>
      </c>
      <c r="S2" s="65" t="s">
        <v>164</v>
      </c>
      <c r="T2" s="65" t="s">
        <v>165</v>
      </c>
    </row>
    <row r="3" spans="1:25" ht="27.75" customHeight="1" x14ac:dyDescent="0.3">
      <c r="A3" s="1"/>
      <c r="B3" s="291" t="s">
        <v>237</v>
      </c>
      <c r="C3" s="270"/>
      <c r="D3" s="270"/>
      <c r="E3" s="271"/>
      <c r="F3" s="272"/>
      <c r="G3" s="271"/>
      <c r="H3" s="271"/>
      <c r="I3" s="273"/>
      <c r="J3" s="274"/>
      <c r="K3" s="275"/>
      <c r="L3" s="276"/>
      <c r="M3" s="276"/>
      <c r="N3" s="276"/>
      <c r="O3" s="276"/>
      <c r="P3" s="277"/>
      <c r="Q3" s="277"/>
      <c r="S3" s="63">
        <f>IF(B22='Customer Load Sheet'!$B$97,ESA!M22,0)</f>
        <v>0</v>
      </c>
      <c r="T3" s="63">
        <f>IF(B22='Customer Load Sheet'!$B$104,ESA!N22,0)</f>
        <v>0</v>
      </c>
      <c r="Y3" s="97"/>
    </row>
    <row r="4" spans="1:25" ht="23.25" customHeight="1" x14ac:dyDescent="0.3">
      <c r="A4" s="1"/>
      <c r="B4" s="292" t="str">
        <f>IF('Customer Load Sheet'!B38=0,"Use for Spacing Only",'Customer Load Sheet'!B38)</f>
        <v xml:space="preserve">A/C </v>
      </c>
      <c r="C4" s="278">
        <f>'Customer Load Sheet'!C38</f>
        <v>0</v>
      </c>
      <c r="D4" s="278">
        <f>'Customer Load Sheet'!D38</f>
        <v>0</v>
      </c>
      <c r="E4" s="278">
        <f>'Customer Load Sheet'!E38</f>
        <v>0</v>
      </c>
      <c r="F4" s="279">
        <f>'Customer Load Sheet'!F38</f>
        <v>0</v>
      </c>
      <c r="G4" s="280">
        <f>'Customer Load Sheet'!G38</f>
        <v>0</v>
      </c>
      <c r="H4" s="281">
        <f t="shared" ref="H4:H19" si="0">IF(B4=0,0,VLOOKUP(B4,COMM_LOAD_TYPE_VLKUP,3,0))</f>
        <v>16</v>
      </c>
      <c r="I4" s="282" t="str">
        <f>'Customer Load Sheet'!H38</f>
        <v xml:space="preserve"> </v>
      </c>
      <c r="J4" s="283"/>
      <c r="K4" s="284">
        <f t="shared" ref="K4:K17" si="1">VLOOKUP(B4,COMM_LOAD_TYPE_VLKUP,2,0)</f>
        <v>0.75</v>
      </c>
      <c r="L4" s="285">
        <f t="shared" ref="L4:L19" si="2">VLOOKUP(B4,COMM_LOAD_TYPE_VLKUP,2,0)</f>
        <v>0.75</v>
      </c>
      <c r="M4" s="286">
        <f>C4*L4</f>
        <v>0</v>
      </c>
      <c r="N4" s="286">
        <f t="shared" ref="N4:N20" si="3">M4/P$40</f>
        <v>0</v>
      </c>
      <c r="O4" s="287">
        <f>M4*H4*G4</f>
        <v>0</v>
      </c>
      <c r="P4" s="288"/>
      <c r="Q4" s="288"/>
      <c r="S4" s="63">
        <f>IF(B23='Customer Load Sheet'!$B$97,ESA!M23,0)</f>
        <v>0</v>
      </c>
      <c r="T4" s="63">
        <f>IF(B23='Customer Load Sheet'!$B$104,ESA!N23,0)</f>
        <v>0</v>
      </c>
      <c r="Y4" s="97"/>
    </row>
    <row r="5" spans="1:25" ht="23.25" customHeight="1" x14ac:dyDescent="0.3">
      <c r="A5" s="1"/>
      <c r="B5" s="292" t="str">
        <f>IF('Customer Load Sheet'!B39=0,"Use for Spacing Only",'Customer Load Sheet'!B39)</f>
        <v>Laundry</v>
      </c>
      <c r="C5" s="278">
        <f>'Customer Load Sheet'!C39</f>
        <v>0</v>
      </c>
      <c r="D5" s="278">
        <f>'Customer Load Sheet'!D39</f>
        <v>0</v>
      </c>
      <c r="E5" s="278">
        <f>'Customer Load Sheet'!E39</f>
        <v>0</v>
      </c>
      <c r="F5" s="279">
        <f>'Customer Load Sheet'!F39</f>
        <v>0</v>
      </c>
      <c r="G5" s="280">
        <f>'Customer Load Sheet'!G39</f>
        <v>0</v>
      </c>
      <c r="H5" s="281">
        <f t="shared" si="0"/>
        <v>52</v>
      </c>
      <c r="I5" s="282" t="str">
        <f>'Customer Load Sheet'!H39</f>
        <v xml:space="preserve"> </v>
      </c>
      <c r="J5" s="283"/>
      <c r="K5" s="284">
        <f t="shared" si="1"/>
        <v>0.5</v>
      </c>
      <c r="L5" s="285">
        <f t="shared" si="2"/>
        <v>0.5</v>
      </c>
      <c r="M5" s="286">
        <f t="shared" ref="M5:M19" si="4">C5*L5</f>
        <v>0</v>
      </c>
      <c r="N5" s="286">
        <f t="shared" si="3"/>
        <v>0</v>
      </c>
      <c r="O5" s="287">
        <f t="shared" ref="O5:O19" si="5">M5*H5*G5</f>
        <v>0</v>
      </c>
      <c r="P5" s="288"/>
      <c r="Q5" s="288"/>
      <c r="S5" s="63">
        <f>IF(B24='Customer Load Sheet'!$B$97,ESA!M24,0)</f>
        <v>0</v>
      </c>
      <c r="T5" s="63">
        <f>IF(B24='Customer Load Sheet'!$B$104,ESA!N24,0)</f>
        <v>0</v>
      </c>
      <c r="Y5" s="97"/>
    </row>
    <row r="6" spans="1:25" ht="23.25" customHeight="1" x14ac:dyDescent="0.3">
      <c r="A6" s="1"/>
      <c r="B6" s="292" t="str">
        <f>IF('Customer Load Sheet'!B40=0,"Use for Spacing Only",'Customer Load Sheet'!B40)</f>
        <v>Lighting</v>
      </c>
      <c r="C6" s="278">
        <f>'Customer Load Sheet'!C40</f>
        <v>0</v>
      </c>
      <c r="D6" s="278">
        <f>'Customer Load Sheet'!D40</f>
        <v>0</v>
      </c>
      <c r="E6" s="278">
        <f>'Customer Load Sheet'!E40</f>
        <v>0</v>
      </c>
      <c r="F6" s="279">
        <f>'Customer Load Sheet'!F40</f>
        <v>0</v>
      </c>
      <c r="G6" s="280">
        <f>'Customer Load Sheet'!G40</f>
        <v>0</v>
      </c>
      <c r="H6" s="281">
        <f t="shared" si="0"/>
        <v>52</v>
      </c>
      <c r="I6" s="282" t="str">
        <f>'Customer Load Sheet'!H40</f>
        <v xml:space="preserve"> </v>
      </c>
      <c r="J6" s="283"/>
      <c r="K6" s="284">
        <f t="shared" si="1"/>
        <v>1</v>
      </c>
      <c r="L6" s="285">
        <f t="shared" si="2"/>
        <v>1</v>
      </c>
      <c r="M6" s="286">
        <f t="shared" si="4"/>
        <v>0</v>
      </c>
      <c r="N6" s="286">
        <f t="shared" si="3"/>
        <v>0</v>
      </c>
      <c r="O6" s="287">
        <f t="shared" si="5"/>
        <v>0</v>
      </c>
      <c r="P6" s="288"/>
      <c r="Q6" s="288"/>
      <c r="S6" s="63">
        <f>IF(B25='Customer Load Sheet'!$B$97,ESA!M25,0)</f>
        <v>0</v>
      </c>
      <c r="T6" s="63">
        <f>IF(B25='Customer Load Sheet'!$B$104,ESA!N25,0)</f>
        <v>0</v>
      </c>
      <c r="Y6" s="97"/>
    </row>
    <row r="7" spans="1:25" ht="23.25" customHeight="1" x14ac:dyDescent="0.3">
      <c r="A7" s="1"/>
      <c r="B7" s="292" t="str">
        <f>IF('Customer Load Sheet'!B41=0,"Use for Spacing Only",'Customer Load Sheet'!B41)</f>
        <v>Receptacles</v>
      </c>
      <c r="C7" s="278">
        <f>'Customer Load Sheet'!C41</f>
        <v>0</v>
      </c>
      <c r="D7" s="278">
        <f>'Customer Load Sheet'!D41</f>
        <v>0</v>
      </c>
      <c r="E7" s="278">
        <f>'Customer Load Sheet'!E41</f>
        <v>0</v>
      </c>
      <c r="F7" s="279">
        <f>'Customer Load Sheet'!F41</f>
        <v>0</v>
      </c>
      <c r="G7" s="280">
        <f>'Customer Load Sheet'!G41</f>
        <v>0</v>
      </c>
      <c r="H7" s="281">
        <f t="shared" si="0"/>
        <v>52</v>
      </c>
      <c r="I7" s="282" t="str">
        <f>'Customer Load Sheet'!H41</f>
        <v xml:space="preserve"> </v>
      </c>
      <c r="J7" s="283"/>
      <c r="K7" s="284">
        <f t="shared" si="1"/>
        <v>0.1</v>
      </c>
      <c r="L7" s="285">
        <f t="shared" si="2"/>
        <v>0.1</v>
      </c>
      <c r="M7" s="286">
        <f t="shared" si="4"/>
        <v>0</v>
      </c>
      <c r="N7" s="286">
        <f t="shared" si="3"/>
        <v>0</v>
      </c>
      <c r="O7" s="287">
        <f t="shared" si="5"/>
        <v>0</v>
      </c>
      <c r="P7" s="288"/>
      <c r="Q7" s="288"/>
      <c r="S7" s="63">
        <f>IF(B26='Customer Load Sheet'!$B$97,ESA!M26,0)</f>
        <v>0</v>
      </c>
      <c r="T7" s="63">
        <f>IF(B26='Customer Load Sheet'!$B$104,ESA!N26,0)</f>
        <v>0</v>
      </c>
      <c r="Y7" s="97"/>
    </row>
    <row r="8" spans="1:25" ht="23.25" customHeight="1" x14ac:dyDescent="0.3">
      <c r="A8" s="1"/>
      <c r="B8" s="292" t="str">
        <f>IF('Customer Load Sheet'!B42=0,"Use for Spacing Only",'Customer Load Sheet'!B42)</f>
        <v>Heating including Heat Pumps</v>
      </c>
      <c r="C8" s="278">
        <f>'Customer Load Sheet'!C42</f>
        <v>0</v>
      </c>
      <c r="D8" s="278">
        <f>'Customer Load Sheet'!D42</f>
        <v>0</v>
      </c>
      <c r="E8" s="278">
        <f>'Customer Load Sheet'!E42</f>
        <v>0</v>
      </c>
      <c r="F8" s="279">
        <f>'Customer Load Sheet'!F42</f>
        <v>0</v>
      </c>
      <c r="G8" s="280">
        <f>'Customer Load Sheet'!G42</f>
        <v>0</v>
      </c>
      <c r="H8" s="281">
        <f t="shared" si="0"/>
        <v>36</v>
      </c>
      <c r="I8" s="282" t="str">
        <f>'Customer Load Sheet'!H42</f>
        <v xml:space="preserve"> </v>
      </c>
      <c r="J8" s="283"/>
      <c r="K8" s="284">
        <f t="shared" si="1"/>
        <v>0.75</v>
      </c>
      <c r="L8" s="285">
        <f t="shared" si="2"/>
        <v>0.75</v>
      </c>
      <c r="M8" s="286">
        <f t="shared" si="4"/>
        <v>0</v>
      </c>
      <c r="N8" s="286">
        <f t="shared" si="3"/>
        <v>0</v>
      </c>
      <c r="O8" s="287">
        <f t="shared" si="5"/>
        <v>0</v>
      </c>
      <c r="P8" s="288"/>
      <c r="Q8" s="288"/>
      <c r="S8" s="63">
        <f>IF(B27='Customer Load Sheet'!$B$97,ESA!M27,0)</f>
        <v>0</v>
      </c>
      <c r="T8" s="63">
        <f>IF(B27='Customer Load Sheet'!$B$104,ESA!N27,0)</f>
        <v>0</v>
      </c>
      <c r="Y8" s="97"/>
    </row>
    <row r="9" spans="1:25" ht="23.25" customHeight="1" x14ac:dyDescent="0.3">
      <c r="A9" s="1"/>
      <c r="B9" s="292" t="str">
        <f>IF('Customer Load Sheet'!B43=0,"Use for Spacing Only",'Customer Load Sheet'!B43)</f>
        <v>Cooking Loads</v>
      </c>
      <c r="C9" s="278">
        <f>'Customer Load Sheet'!C43</f>
        <v>0</v>
      </c>
      <c r="D9" s="278">
        <f>'Customer Load Sheet'!D43</f>
        <v>0</v>
      </c>
      <c r="E9" s="278">
        <f>'Customer Load Sheet'!E43</f>
        <v>0</v>
      </c>
      <c r="F9" s="279">
        <f>'Customer Load Sheet'!F43</f>
        <v>0</v>
      </c>
      <c r="G9" s="280">
        <f>'Customer Load Sheet'!G43</f>
        <v>0</v>
      </c>
      <c r="H9" s="281">
        <f t="shared" si="0"/>
        <v>52</v>
      </c>
      <c r="I9" s="282" t="str">
        <f>'Customer Load Sheet'!H43</f>
        <v xml:space="preserve"> </v>
      </c>
      <c r="J9" s="283"/>
      <c r="K9" s="284">
        <f t="shared" si="1"/>
        <v>0.4</v>
      </c>
      <c r="L9" s="285">
        <f t="shared" si="2"/>
        <v>0.4</v>
      </c>
      <c r="M9" s="286">
        <f t="shared" si="4"/>
        <v>0</v>
      </c>
      <c r="N9" s="286">
        <f t="shared" si="3"/>
        <v>0</v>
      </c>
      <c r="O9" s="287">
        <f t="shared" si="5"/>
        <v>0</v>
      </c>
      <c r="P9" s="288"/>
      <c r="Q9" s="288"/>
      <c r="S9" s="63">
        <f>IF(B28='Customer Load Sheet'!$B$97,ESA!M28,0)</f>
        <v>0</v>
      </c>
      <c r="T9" s="63">
        <f>IF(B28='Customer Load Sheet'!$B$104,ESA!N28,0)</f>
        <v>0</v>
      </c>
      <c r="Y9" s="97"/>
    </row>
    <row r="10" spans="1:25" ht="23.25" customHeight="1" x14ac:dyDescent="0.3">
      <c r="A10" s="1"/>
      <c r="B10" s="292" t="str">
        <f>IF('Customer Load Sheet'!B44=0,"Use for Spacing Only",'Customer Load Sheet'!B44)</f>
        <v>Motor Loads General Purpose</v>
      </c>
      <c r="C10" s="278">
        <f>'Customer Load Sheet'!C44</f>
        <v>0</v>
      </c>
      <c r="D10" s="278">
        <f>'Customer Load Sheet'!D44</f>
        <v>0</v>
      </c>
      <c r="E10" s="278">
        <f>'Customer Load Sheet'!E44</f>
        <v>0</v>
      </c>
      <c r="F10" s="279">
        <f>'Customer Load Sheet'!F44</f>
        <v>0</v>
      </c>
      <c r="G10" s="280">
        <f>'Customer Load Sheet'!G44</f>
        <v>0</v>
      </c>
      <c r="H10" s="281">
        <f t="shared" si="0"/>
        <v>52</v>
      </c>
      <c r="I10" s="282" t="str">
        <f>'Customer Load Sheet'!H44</f>
        <v xml:space="preserve"> </v>
      </c>
      <c r="J10" s="283"/>
      <c r="K10" s="284">
        <f t="shared" si="1"/>
        <v>0.3</v>
      </c>
      <c r="L10" s="285">
        <f t="shared" si="2"/>
        <v>0.3</v>
      </c>
      <c r="M10" s="286">
        <f t="shared" si="4"/>
        <v>0</v>
      </c>
      <c r="N10" s="286">
        <f t="shared" si="3"/>
        <v>0</v>
      </c>
      <c r="O10" s="287">
        <f t="shared" si="5"/>
        <v>0</v>
      </c>
      <c r="P10" s="288"/>
      <c r="Q10" s="288"/>
      <c r="S10" s="63">
        <f>IF(B29='Customer Load Sheet'!$B$97,ESA!M29,0)</f>
        <v>0</v>
      </c>
      <c r="T10" s="63">
        <f>IF(B29='Customer Load Sheet'!$B$104,ESA!N29,0)</f>
        <v>0</v>
      </c>
      <c r="Y10" s="97"/>
    </row>
    <row r="11" spans="1:25" ht="23.25" customHeight="1" x14ac:dyDescent="0.3">
      <c r="A11" s="1"/>
      <c r="B11" s="292" t="str">
        <f>IF('Customer Load Sheet'!B45=0,"Use for Spacing Only",'Customer Load Sheet'!B45)</f>
        <v>Receptacles</v>
      </c>
      <c r="C11" s="278">
        <f>'Customer Load Sheet'!C45</f>
        <v>0</v>
      </c>
      <c r="D11" s="278">
        <f>'Customer Load Sheet'!D45</f>
        <v>0</v>
      </c>
      <c r="E11" s="278">
        <f>'Customer Load Sheet'!E45</f>
        <v>0</v>
      </c>
      <c r="F11" s="279">
        <f>'Customer Load Sheet'!F45</f>
        <v>0</v>
      </c>
      <c r="G11" s="280">
        <f>'Customer Load Sheet'!G45</f>
        <v>0</v>
      </c>
      <c r="H11" s="281">
        <f t="shared" si="0"/>
        <v>52</v>
      </c>
      <c r="I11" s="282" t="str">
        <f>'Customer Load Sheet'!H45</f>
        <v xml:space="preserve"> </v>
      </c>
      <c r="J11" s="283"/>
      <c r="K11" s="284">
        <f t="shared" si="1"/>
        <v>0.1</v>
      </c>
      <c r="L11" s="285">
        <f t="shared" si="2"/>
        <v>0.1</v>
      </c>
      <c r="M11" s="286">
        <f t="shared" si="4"/>
        <v>0</v>
      </c>
      <c r="N11" s="286">
        <f t="shared" si="3"/>
        <v>0</v>
      </c>
      <c r="O11" s="287">
        <f t="shared" si="5"/>
        <v>0</v>
      </c>
      <c r="P11" s="288"/>
      <c r="Q11" s="288"/>
      <c r="S11" s="63">
        <f>SUM(S3:S10)</f>
        <v>0</v>
      </c>
      <c r="T11" s="63">
        <f>SUM(T3:T10)</f>
        <v>0</v>
      </c>
      <c r="Y11" s="97"/>
    </row>
    <row r="12" spans="1:25" ht="23.25" customHeight="1" x14ac:dyDescent="0.3">
      <c r="A12" s="1"/>
      <c r="B12" s="292" t="str">
        <f>IF('Customer Load Sheet'!B46=0,"Use for Spacing Only",'Customer Load Sheet'!B46)</f>
        <v>Future Loads</v>
      </c>
      <c r="C12" s="278">
        <f>'Customer Load Sheet'!C46</f>
        <v>0</v>
      </c>
      <c r="D12" s="278">
        <f>'Customer Load Sheet'!D46</f>
        <v>0</v>
      </c>
      <c r="E12" s="278">
        <f>'Customer Load Sheet'!E46</f>
        <v>0</v>
      </c>
      <c r="F12" s="279">
        <f>'Customer Load Sheet'!F46</f>
        <v>0</v>
      </c>
      <c r="G12" s="280">
        <f>'Customer Load Sheet'!G46</f>
        <v>0</v>
      </c>
      <c r="H12" s="281">
        <f t="shared" si="0"/>
        <v>52</v>
      </c>
      <c r="I12" s="282" t="str">
        <f>'Customer Load Sheet'!H46</f>
        <v xml:space="preserve"> </v>
      </c>
      <c r="J12" s="283"/>
      <c r="K12" s="284">
        <f t="shared" si="1"/>
        <v>0.8</v>
      </c>
      <c r="L12" s="285">
        <f t="shared" si="2"/>
        <v>0.8</v>
      </c>
      <c r="M12" s="286">
        <f t="shared" si="4"/>
        <v>0</v>
      </c>
      <c r="N12" s="286">
        <f t="shared" si="3"/>
        <v>0</v>
      </c>
      <c r="O12" s="287">
        <f t="shared" si="5"/>
        <v>0</v>
      </c>
      <c r="P12" s="288"/>
      <c r="Q12" s="288"/>
      <c r="S12" s="63">
        <f>IF(B31='Customer Load Sheet'!$B$97,ESA!M31,0)</f>
        <v>0</v>
      </c>
      <c r="T12" s="63">
        <f>IF(B31='Customer Load Sheet'!$B$104,ESA!N31,0)</f>
        <v>0</v>
      </c>
      <c r="Y12" s="97"/>
    </row>
    <row r="13" spans="1:25" ht="23.25" customHeight="1" x14ac:dyDescent="0.3">
      <c r="A13" s="1"/>
      <c r="B13" s="292" t="str">
        <f>IF('Customer Load Sheet'!B47=0,"Use for Spacing Only",'Customer Load Sheet'!B47)</f>
        <v>Laundry</v>
      </c>
      <c r="C13" s="278">
        <f>'Customer Load Sheet'!C47</f>
        <v>0</v>
      </c>
      <c r="D13" s="278">
        <f>'Customer Load Sheet'!D47</f>
        <v>0</v>
      </c>
      <c r="E13" s="278">
        <f>'Customer Load Sheet'!E47</f>
        <v>0</v>
      </c>
      <c r="F13" s="279">
        <f>'Customer Load Sheet'!F47</f>
        <v>0</v>
      </c>
      <c r="G13" s="280">
        <f>'Customer Load Sheet'!G47</f>
        <v>0</v>
      </c>
      <c r="H13" s="281">
        <f t="shared" si="0"/>
        <v>52</v>
      </c>
      <c r="I13" s="282" t="str">
        <f>'Customer Load Sheet'!H47</f>
        <v xml:space="preserve"> </v>
      </c>
      <c r="J13" s="283"/>
      <c r="K13" s="284">
        <f t="shared" si="1"/>
        <v>0.5</v>
      </c>
      <c r="L13" s="285">
        <f t="shared" si="2"/>
        <v>0.5</v>
      </c>
      <c r="M13" s="286">
        <f t="shared" si="4"/>
        <v>0</v>
      </c>
      <c r="N13" s="286">
        <f t="shared" si="3"/>
        <v>0</v>
      </c>
      <c r="O13" s="287">
        <f t="shared" si="5"/>
        <v>0</v>
      </c>
      <c r="P13" s="288"/>
      <c r="Q13" s="288"/>
      <c r="S13" s="63">
        <f>IF(B32='Customer Load Sheet'!$B$97,ESA!M32,0)</f>
        <v>0</v>
      </c>
      <c r="T13" s="63">
        <f>IF(B32='Customer Load Sheet'!$B$104,ESA!N32,0)</f>
        <v>0</v>
      </c>
      <c r="Y13" s="97"/>
    </row>
    <row r="14" spans="1:25" ht="23.25" customHeight="1" x14ac:dyDescent="0.3">
      <c r="A14" s="1"/>
      <c r="B14" s="292" t="str">
        <f>IF('Customer Load Sheet'!B48=0,"Use for Spacing Only",'Customer Load Sheet'!B48)</f>
        <v>Lighting</v>
      </c>
      <c r="C14" s="278">
        <f>'Customer Load Sheet'!C48</f>
        <v>0</v>
      </c>
      <c r="D14" s="278">
        <f>'Customer Load Sheet'!D48</f>
        <v>0</v>
      </c>
      <c r="E14" s="278">
        <f>'Customer Load Sheet'!E48</f>
        <v>0</v>
      </c>
      <c r="F14" s="279">
        <f>'Customer Load Sheet'!F48</f>
        <v>0</v>
      </c>
      <c r="G14" s="280">
        <f>'Customer Load Sheet'!G48</f>
        <v>0</v>
      </c>
      <c r="H14" s="281">
        <f t="shared" si="0"/>
        <v>52</v>
      </c>
      <c r="I14" s="282" t="str">
        <f>'Customer Load Sheet'!H48</f>
        <v xml:space="preserve"> </v>
      </c>
      <c r="J14" s="283"/>
      <c r="K14" s="284">
        <f t="shared" si="1"/>
        <v>1</v>
      </c>
      <c r="L14" s="285">
        <f t="shared" si="2"/>
        <v>1</v>
      </c>
      <c r="M14" s="286">
        <f t="shared" si="4"/>
        <v>0</v>
      </c>
      <c r="N14" s="286">
        <f t="shared" si="3"/>
        <v>0</v>
      </c>
      <c r="O14" s="287">
        <f t="shared" si="5"/>
        <v>0</v>
      </c>
      <c r="P14" s="288"/>
      <c r="Q14" s="288"/>
      <c r="S14" s="63">
        <f>SUM(S12:S13)</f>
        <v>0</v>
      </c>
      <c r="T14" s="63">
        <f>SUM(T12:T13)</f>
        <v>0</v>
      </c>
      <c r="Y14" s="97"/>
    </row>
    <row r="15" spans="1:25" ht="23.25" customHeight="1" x14ac:dyDescent="0.3">
      <c r="A15" s="1"/>
      <c r="B15" s="292" t="str">
        <f>IF('Customer Load Sheet'!B49=0,"Use for Spacing Only",'Customer Load Sheet'!B49)</f>
        <v>Receptacles</v>
      </c>
      <c r="C15" s="278">
        <f>'Customer Load Sheet'!C49</f>
        <v>0</v>
      </c>
      <c r="D15" s="278">
        <f>'Customer Load Sheet'!D49</f>
        <v>0</v>
      </c>
      <c r="E15" s="278">
        <f>'Customer Load Sheet'!E49</f>
        <v>0</v>
      </c>
      <c r="F15" s="279">
        <f>'Customer Load Sheet'!F49</f>
        <v>0</v>
      </c>
      <c r="G15" s="280">
        <f>'Customer Load Sheet'!G49</f>
        <v>0</v>
      </c>
      <c r="H15" s="281">
        <f t="shared" si="0"/>
        <v>52</v>
      </c>
      <c r="I15" s="282" t="str">
        <f>'Customer Load Sheet'!H49</f>
        <v xml:space="preserve"> </v>
      </c>
      <c r="J15" s="283"/>
      <c r="K15" s="284">
        <f t="shared" si="1"/>
        <v>0.1</v>
      </c>
      <c r="L15" s="285">
        <f t="shared" si="2"/>
        <v>0.1</v>
      </c>
      <c r="M15" s="286">
        <f t="shared" si="4"/>
        <v>0</v>
      </c>
      <c r="N15" s="286">
        <f t="shared" si="3"/>
        <v>0</v>
      </c>
      <c r="O15" s="287">
        <f t="shared" si="5"/>
        <v>0</v>
      </c>
      <c r="P15" s="288"/>
      <c r="Q15" s="288"/>
      <c r="S15" s="63"/>
      <c r="T15" s="63"/>
      <c r="Y15" s="97"/>
    </row>
    <row r="16" spans="1:25" ht="23.25" customHeight="1" x14ac:dyDescent="0.3">
      <c r="A16" s="1"/>
      <c r="B16" s="292" t="str">
        <f>IF('Customer Load Sheet'!B50=0,"Use for Spacing Only",'Customer Load Sheet'!B50)</f>
        <v>Laundry</v>
      </c>
      <c r="C16" s="278">
        <f>'Customer Load Sheet'!C50</f>
        <v>0</v>
      </c>
      <c r="D16" s="278">
        <f>'Customer Load Sheet'!D50</f>
        <v>0</v>
      </c>
      <c r="E16" s="278">
        <f>'Customer Load Sheet'!E50</f>
        <v>0</v>
      </c>
      <c r="F16" s="279">
        <f>'Customer Load Sheet'!F50</f>
        <v>0</v>
      </c>
      <c r="G16" s="280">
        <f>'Customer Load Sheet'!G50</f>
        <v>0</v>
      </c>
      <c r="H16" s="281">
        <f t="shared" si="0"/>
        <v>52</v>
      </c>
      <c r="I16" s="282" t="str">
        <f>'Customer Load Sheet'!H50</f>
        <v xml:space="preserve"> </v>
      </c>
      <c r="J16" s="283"/>
      <c r="K16" s="284">
        <f t="shared" si="1"/>
        <v>0.5</v>
      </c>
      <c r="L16" s="285">
        <f t="shared" si="2"/>
        <v>0.5</v>
      </c>
      <c r="M16" s="286">
        <f t="shared" si="4"/>
        <v>0</v>
      </c>
      <c r="N16" s="286">
        <f t="shared" si="3"/>
        <v>0</v>
      </c>
      <c r="O16" s="287">
        <f t="shared" si="5"/>
        <v>0</v>
      </c>
      <c r="P16" s="288"/>
      <c r="Q16" s="288"/>
      <c r="S16" s="63"/>
      <c r="T16" s="63"/>
      <c r="Y16" s="97"/>
    </row>
    <row r="17" spans="1:25" ht="22.5" customHeight="1" x14ac:dyDescent="0.3">
      <c r="A17" s="1"/>
      <c r="B17" s="292" t="str">
        <f>IF('Customer Load Sheet'!B51=0,"Use for Spacing Only",'Customer Load Sheet'!B51)</f>
        <v>Car Charging</v>
      </c>
      <c r="C17" s="293">
        <f>'Customer Load Sheet'!C51</f>
        <v>0</v>
      </c>
      <c r="D17" s="293">
        <f>'Customer Load Sheet'!D51</f>
        <v>0</v>
      </c>
      <c r="E17" s="293">
        <f>'Customer Load Sheet'!E51</f>
        <v>0</v>
      </c>
      <c r="F17" s="294">
        <f>'Customer Load Sheet'!F51</f>
        <v>0</v>
      </c>
      <c r="G17" s="295">
        <f>'Customer Load Sheet'!G51</f>
        <v>0</v>
      </c>
      <c r="H17" s="281">
        <f t="shared" si="0"/>
        <v>52</v>
      </c>
      <c r="I17" s="296" t="str">
        <f>'Customer Load Sheet'!H51</f>
        <v xml:space="preserve"> </v>
      </c>
      <c r="J17" s="297"/>
      <c r="K17" s="298">
        <f t="shared" si="1"/>
        <v>1</v>
      </c>
      <c r="L17" s="285">
        <f t="shared" si="2"/>
        <v>1</v>
      </c>
      <c r="M17" s="299">
        <f t="shared" si="4"/>
        <v>0</v>
      </c>
      <c r="N17" s="299">
        <f t="shared" si="3"/>
        <v>0</v>
      </c>
      <c r="O17" s="300">
        <f t="shared" si="5"/>
        <v>0</v>
      </c>
      <c r="P17" s="301"/>
      <c r="Q17" s="301"/>
      <c r="S17" s="63">
        <f>IF(B4='Customer Load Sheet'!$B$97,ESA!M4,0)</f>
        <v>0</v>
      </c>
      <c r="T17" s="63">
        <f>IF(B4='Customer Load Sheet'!$B$104,ESA!N4,0)</f>
        <v>0</v>
      </c>
      <c r="Y17" s="97"/>
    </row>
    <row r="18" spans="1:25" ht="23.25" customHeight="1" x14ac:dyDescent="0.3">
      <c r="A18" s="1"/>
      <c r="B18" s="292" t="str">
        <f>IF('Customer Load Sheet'!B52=0,"Use for Spacing Only",'Customer Load Sheet'!B52)</f>
        <v>Motor Loads General Purpose</v>
      </c>
      <c r="C18" s="293">
        <f>'Customer Load Sheet'!C52</f>
        <v>0</v>
      </c>
      <c r="D18" s="293">
        <f>'Customer Load Sheet'!D52</f>
        <v>0</v>
      </c>
      <c r="E18" s="293">
        <f>'Customer Load Sheet'!E52</f>
        <v>0</v>
      </c>
      <c r="F18" s="294">
        <f>'Customer Load Sheet'!F52</f>
        <v>0</v>
      </c>
      <c r="G18" s="295">
        <f>'Customer Load Sheet'!G52</f>
        <v>0</v>
      </c>
      <c r="H18" s="281">
        <f t="shared" si="0"/>
        <v>52</v>
      </c>
      <c r="I18" s="296" t="str">
        <f>'Customer Load Sheet'!H52</f>
        <v xml:space="preserve"> </v>
      </c>
      <c r="J18" s="297"/>
      <c r="K18" s="298">
        <f t="shared" ref="K18:K19" si="6">VLOOKUP(B18,COMM_LOAD_TYPE_VLKUP,2,0)</f>
        <v>0.3</v>
      </c>
      <c r="L18" s="285">
        <f t="shared" si="2"/>
        <v>0.3</v>
      </c>
      <c r="M18" s="299">
        <f t="shared" si="4"/>
        <v>0</v>
      </c>
      <c r="N18" s="299">
        <f t="shared" si="3"/>
        <v>0</v>
      </c>
      <c r="O18" s="300">
        <f t="shared" si="5"/>
        <v>0</v>
      </c>
      <c r="P18" s="301"/>
      <c r="Q18" s="301"/>
      <c r="S18" s="63">
        <f>IF(B5='Customer Load Sheet'!$B$97,ESA!M5,0)</f>
        <v>0</v>
      </c>
      <c r="T18" s="63">
        <f>IF(B5='Customer Load Sheet'!$B$104,ESA!N5,0)</f>
        <v>0</v>
      </c>
      <c r="Y18" s="97"/>
    </row>
    <row r="19" spans="1:25" ht="23.25" customHeight="1" x14ac:dyDescent="0.3">
      <c r="A19" s="1"/>
      <c r="B19" s="292" t="str">
        <f>IF('Customer Load Sheet'!B53=0,"Use for Spacing Only",'Customer Load Sheet'!B53)</f>
        <v>Receptacles</v>
      </c>
      <c r="C19" s="278">
        <f>'Customer Load Sheet'!C53</f>
        <v>0</v>
      </c>
      <c r="D19" s="278">
        <f>'Customer Load Sheet'!D53</f>
        <v>0</v>
      </c>
      <c r="E19" s="278">
        <f>'Customer Load Sheet'!E53</f>
        <v>0</v>
      </c>
      <c r="F19" s="279">
        <f>'Customer Load Sheet'!F53</f>
        <v>0</v>
      </c>
      <c r="G19" s="280">
        <f>'Customer Load Sheet'!G53</f>
        <v>0</v>
      </c>
      <c r="H19" s="281">
        <f t="shared" si="0"/>
        <v>52</v>
      </c>
      <c r="I19" s="282" t="str">
        <f>'Customer Load Sheet'!H53</f>
        <v xml:space="preserve"> </v>
      </c>
      <c r="J19" s="283"/>
      <c r="K19" s="298">
        <f t="shared" si="6"/>
        <v>0.1</v>
      </c>
      <c r="L19" s="285">
        <f t="shared" si="2"/>
        <v>0.1</v>
      </c>
      <c r="M19" s="286">
        <f t="shared" si="4"/>
        <v>0</v>
      </c>
      <c r="N19" s="286">
        <f t="shared" si="3"/>
        <v>0</v>
      </c>
      <c r="O19" s="287">
        <f t="shared" si="5"/>
        <v>0</v>
      </c>
      <c r="P19" s="283"/>
      <c r="Q19" s="283"/>
      <c r="S19" s="63">
        <f>IF(B6='Customer Load Sheet'!$B$97,ESA!M6,0)</f>
        <v>0</v>
      </c>
      <c r="T19" s="63">
        <f>IF(B6='Customer Load Sheet'!$B$104,ESA!N6,0)</f>
        <v>0</v>
      </c>
      <c r="Y19" s="97"/>
    </row>
    <row r="20" spans="1:25" ht="48.75" customHeight="1" thickBot="1" x14ac:dyDescent="0.35">
      <c r="A20" s="1"/>
      <c r="B20" s="291" t="str">
        <f>'Customer Load Sheet'!B54</f>
        <v>Total Commercial and  Common</v>
      </c>
      <c r="C20" s="265">
        <f>'Customer Load Sheet'!C54</f>
        <v>0</v>
      </c>
      <c r="D20" s="278">
        <f>'Customer Load Sheet'!D54</f>
        <v>0</v>
      </c>
      <c r="E20" s="278">
        <f>'Customer Load Sheet'!E54</f>
        <v>0</v>
      </c>
      <c r="F20" s="279">
        <f>'Customer Load Sheet'!F54</f>
        <v>0</v>
      </c>
      <c r="G20" s="280">
        <f>'Customer Load Sheet'!G54</f>
        <v>0</v>
      </c>
      <c r="H20" s="289"/>
      <c r="I20" s="291" t="str">
        <f>'Customer Load Sheet'!H54</f>
        <v>Total Commercial and  Common</v>
      </c>
      <c r="J20" s="283"/>
      <c r="K20" s="283"/>
      <c r="L20" s="269" t="s">
        <v>103</v>
      </c>
      <c r="M20" s="290">
        <f>SUM(M4:M19)</f>
        <v>0</v>
      </c>
      <c r="N20" s="290">
        <f t="shared" si="3"/>
        <v>0</v>
      </c>
      <c r="O20" s="352">
        <f>SUM(O4:O19)</f>
        <v>0</v>
      </c>
      <c r="P20" s="353" t="s">
        <v>287</v>
      </c>
      <c r="Q20" s="354">
        <f>IF($P$38=3,($M$20*1000)/($P$37*$P$40*1.732),($M$20*1000)/($P$37*$P$40))</f>
        <v>0</v>
      </c>
      <c r="S20" s="63">
        <f>IF(B7='Customer Load Sheet'!$B$97,ESA!M7,0)</f>
        <v>0</v>
      </c>
      <c r="T20" s="63">
        <f>IF(B7='Customer Load Sheet'!$B$104,ESA!N7,0)</f>
        <v>0</v>
      </c>
      <c r="Y20" s="97"/>
    </row>
    <row r="21" spans="1:25" ht="38.25" customHeight="1" thickBot="1" x14ac:dyDescent="0.35">
      <c r="A21" s="1"/>
      <c r="B21" s="52" t="s">
        <v>139</v>
      </c>
      <c r="C21" s="258"/>
      <c r="D21" s="258"/>
      <c r="E21" s="259"/>
      <c r="F21" s="260"/>
      <c r="G21" s="259"/>
      <c r="H21" s="259"/>
      <c r="I21" s="261"/>
      <c r="J21" s="262"/>
      <c r="K21" s="263"/>
      <c r="L21" s="264"/>
      <c r="M21" s="264"/>
      <c r="N21" s="351"/>
      <c r="O21" s="358" t="s">
        <v>234</v>
      </c>
      <c r="P21" s="360" t="s">
        <v>61</v>
      </c>
      <c r="Q21" s="359"/>
      <c r="S21" s="63">
        <f>IF(B8='Customer Load Sheet'!$B$97,ESA!M8,0)</f>
        <v>0</v>
      </c>
      <c r="T21" s="63">
        <f>IF(B8='Customer Load Sheet'!$B$104,ESA!N8,0)</f>
        <v>0</v>
      </c>
      <c r="Y21" s="97"/>
    </row>
    <row r="22" spans="1:25" ht="23.25" customHeight="1" x14ac:dyDescent="0.3">
      <c r="A22" s="1"/>
      <c r="B22" s="292" t="str">
        <f>IF('Customer Load Sheet'!B57=0,"Use for Spacing Only",'Customer Load Sheet'!B57)</f>
        <v>Laundry</v>
      </c>
      <c r="C22" s="278">
        <f>'Customer Load Sheet'!C57</f>
        <v>0</v>
      </c>
      <c r="D22" s="278">
        <f>'Customer Load Sheet'!D57</f>
        <v>0</v>
      </c>
      <c r="E22" s="278">
        <f>'Customer Load Sheet'!E57</f>
        <v>0</v>
      </c>
      <c r="F22" s="278">
        <f>'Customer Load Sheet'!F57</f>
        <v>0</v>
      </c>
      <c r="G22" s="278">
        <f>'Customer Load Sheet'!G57</f>
        <v>0</v>
      </c>
      <c r="H22" s="155">
        <f t="shared" ref="H22:H29" si="7">VLOOKUP(B22,RES_LOAD_TYPE_NON_HVAC_VLKUP,3,0)</f>
        <v>52</v>
      </c>
      <c r="I22" s="253" t="str">
        <f>'Customer Load Sheet'!H57</f>
        <v xml:space="preserve"> </v>
      </c>
      <c r="J22" s="86"/>
      <c r="K22" s="254">
        <f t="shared" ref="K22:K29" si="8">VLOOKUP(B22,RES_LOAD_TYPE_NON_HVAC_VLKUP,2,0)</f>
        <v>0.5</v>
      </c>
      <c r="L22" s="255">
        <f t="shared" ref="L22:L29" si="9">VLOOKUP(B22,RES_LOAD_TYPE_NON_HVAC_VLKUP,2,0)</f>
        <v>0.5</v>
      </c>
      <c r="M22" s="256">
        <f t="shared" ref="M22:M29" si="10">C22*L22*$P$22</f>
        <v>0</v>
      </c>
      <c r="N22" s="256">
        <f t="shared" ref="N22:N33" si="11">M22/P$40</f>
        <v>0</v>
      </c>
      <c r="O22" s="355">
        <f>M22*H22*G22</f>
        <v>0</v>
      </c>
      <c r="P22" s="356">
        <f>VLOOKUP(P21,ESA!$B$57:$C$67,2)</f>
        <v>1</v>
      </c>
      <c r="Q22" s="357"/>
      <c r="S22" s="63">
        <f>IF(B9='Customer Load Sheet'!$B$97,ESA!M9,0)</f>
        <v>0</v>
      </c>
      <c r="T22" s="63">
        <f>IF(B9='Customer Load Sheet'!$B$104,ESA!N9,0)</f>
        <v>0</v>
      </c>
      <c r="Y22" s="97"/>
    </row>
    <row r="23" spans="1:25" ht="23.25" customHeight="1" x14ac:dyDescent="0.3">
      <c r="A23" s="1"/>
      <c r="B23" s="292" t="str">
        <f>IF('Customer Load Sheet'!B58=0,"Use for Spacing Only",'Customer Load Sheet'!B58)</f>
        <v>Motor Loads Semi Continuous</v>
      </c>
      <c r="C23" s="278">
        <f>'Customer Load Sheet'!C58</f>
        <v>0</v>
      </c>
      <c r="D23" s="278">
        <f>'Customer Load Sheet'!D58</f>
        <v>0</v>
      </c>
      <c r="E23" s="278">
        <f>'Customer Load Sheet'!E58</f>
        <v>0</v>
      </c>
      <c r="F23" s="278">
        <f>'Customer Load Sheet'!F58</f>
        <v>0</v>
      </c>
      <c r="G23" s="278">
        <f>'Customer Load Sheet'!G58</f>
        <v>0</v>
      </c>
      <c r="H23" s="155">
        <f t="shared" si="7"/>
        <v>52</v>
      </c>
      <c r="I23" s="253" t="str">
        <f>'Customer Load Sheet'!H58</f>
        <v xml:space="preserve"> </v>
      </c>
      <c r="J23" s="86"/>
      <c r="K23" s="254">
        <f t="shared" si="8"/>
        <v>0.5</v>
      </c>
      <c r="L23" s="255">
        <f t="shared" si="9"/>
        <v>0.5</v>
      </c>
      <c r="M23" s="256">
        <f t="shared" si="10"/>
        <v>0</v>
      </c>
      <c r="N23" s="256">
        <f t="shared" si="11"/>
        <v>0</v>
      </c>
      <c r="O23" s="90">
        <f t="shared" ref="O23:O29" si="12">M23*H23*G23</f>
        <v>0</v>
      </c>
      <c r="P23" s="303" t="s">
        <v>282</v>
      </c>
      <c r="Q23" s="257"/>
      <c r="S23" s="63">
        <f>IF(B10='Customer Load Sheet'!$B$97,ESA!M10,0)</f>
        <v>0</v>
      </c>
      <c r="T23" s="63">
        <f>IF(B10='Customer Load Sheet'!$B$104,ESA!N10,0)</f>
        <v>0</v>
      </c>
      <c r="Y23" s="97"/>
    </row>
    <row r="24" spans="1:25" ht="23.25" customHeight="1" x14ac:dyDescent="0.3">
      <c r="A24" s="1"/>
      <c r="B24" s="292" t="str">
        <f>IF('Customer Load Sheet'!B59=0,"Use for Spacing Only",'Customer Load Sheet'!B59)</f>
        <v>Motor Loads Semi Continuous</v>
      </c>
      <c r="C24" s="278">
        <f>'Customer Load Sheet'!C59</f>
        <v>0</v>
      </c>
      <c r="D24" s="278">
        <f>'Customer Load Sheet'!D59</f>
        <v>0</v>
      </c>
      <c r="E24" s="278">
        <f>'Customer Load Sheet'!E59</f>
        <v>0</v>
      </c>
      <c r="F24" s="278">
        <f>'Customer Load Sheet'!F59</f>
        <v>0</v>
      </c>
      <c r="G24" s="278">
        <f>'Customer Load Sheet'!G59</f>
        <v>0</v>
      </c>
      <c r="H24" s="155">
        <f t="shared" si="7"/>
        <v>52</v>
      </c>
      <c r="I24" s="253" t="str">
        <f>'Customer Load Sheet'!H59</f>
        <v xml:space="preserve"> </v>
      </c>
      <c r="J24" s="86"/>
      <c r="K24" s="254">
        <f t="shared" si="8"/>
        <v>0.5</v>
      </c>
      <c r="L24" s="255">
        <f t="shared" si="9"/>
        <v>0.5</v>
      </c>
      <c r="M24" s="256">
        <f t="shared" si="10"/>
        <v>0</v>
      </c>
      <c r="N24" s="256">
        <f t="shared" si="11"/>
        <v>0</v>
      </c>
      <c r="O24" s="90">
        <f t="shared" si="12"/>
        <v>0</v>
      </c>
      <c r="P24" s="302">
        <f>'Customer Load Sheet'!C34</f>
        <v>0</v>
      </c>
      <c r="Q24" s="257"/>
      <c r="S24" s="63">
        <f>IF(B11='Customer Load Sheet'!$B$97,ESA!M11,0)</f>
        <v>0</v>
      </c>
      <c r="T24" s="63">
        <f>IF(B11='Customer Load Sheet'!$B$104,ESA!N11,0)</f>
        <v>0</v>
      </c>
      <c r="Y24" s="97"/>
    </row>
    <row r="25" spans="1:25" ht="23.25" customHeight="1" x14ac:dyDescent="0.3">
      <c r="A25" s="1"/>
      <c r="B25" s="292" t="str">
        <f>IF('Customer Load Sheet'!B60=0,"Use for Spacing Only",'Customer Load Sheet'!B60)</f>
        <v>Cooking Loads</v>
      </c>
      <c r="C25" s="278">
        <f>'Customer Load Sheet'!C60</f>
        <v>0</v>
      </c>
      <c r="D25" s="278">
        <f>'Customer Load Sheet'!D60</f>
        <v>0</v>
      </c>
      <c r="E25" s="278">
        <f>'Customer Load Sheet'!E60</f>
        <v>0</v>
      </c>
      <c r="F25" s="278">
        <f>'Customer Load Sheet'!F60</f>
        <v>0</v>
      </c>
      <c r="G25" s="278">
        <f>'Customer Load Sheet'!G60</f>
        <v>0</v>
      </c>
      <c r="H25" s="155">
        <f t="shared" si="7"/>
        <v>52</v>
      </c>
      <c r="I25" s="253" t="str">
        <f>'Customer Load Sheet'!H60</f>
        <v xml:space="preserve"> </v>
      </c>
      <c r="J25" s="86"/>
      <c r="K25" s="254">
        <f t="shared" si="8"/>
        <v>0.4</v>
      </c>
      <c r="L25" s="255">
        <f t="shared" si="9"/>
        <v>0.4</v>
      </c>
      <c r="M25" s="256">
        <f t="shared" si="10"/>
        <v>0</v>
      </c>
      <c r="N25" s="256">
        <f t="shared" si="11"/>
        <v>0</v>
      </c>
      <c r="O25" s="90">
        <f t="shared" si="12"/>
        <v>0</v>
      </c>
      <c r="P25" s="257"/>
      <c r="Q25" s="257"/>
      <c r="S25" s="63">
        <f>IF(B12='Customer Load Sheet'!$B$97,ESA!M12,0)</f>
        <v>0</v>
      </c>
      <c r="T25" s="63">
        <f>IF(B12='Customer Load Sheet'!$B$104,ESA!N12,0)</f>
        <v>0</v>
      </c>
      <c r="Y25" s="97"/>
    </row>
    <row r="26" spans="1:25" ht="23.25" customHeight="1" x14ac:dyDescent="0.3">
      <c r="A26" s="1"/>
      <c r="B26" s="292" t="str">
        <f>IF('Customer Load Sheet'!B61=0,"Use for Spacing Only",'Customer Load Sheet'!B61)</f>
        <v>Cooking Loads</v>
      </c>
      <c r="C26" s="278">
        <f>'Customer Load Sheet'!C61</f>
        <v>0</v>
      </c>
      <c r="D26" s="278">
        <f>'Customer Load Sheet'!D61</f>
        <v>0</v>
      </c>
      <c r="E26" s="278">
        <f>'Customer Load Sheet'!E61</f>
        <v>0</v>
      </c>
      <c r="F26" s="278">
        <f>'Customer Load Sheet'!F61</f>
        <v>0</v>
      </c>
      <c r="G26" s="278">
        <f>'Customer Load Sheet'!G61</f>
        <v>0</v>
      </c>
      <c r="H26" s="155">
        <f t="shared" si="7"/>
        <v>52</v>
      </c>
      <c r="I26" s="253" t="str">
        <f>'Customer Load Sheet'!H61</f>
        <v xml:space="preserve"> </v>
      </c>
      <c r="J26" s="86"/>
      <c r="K26" s="254">
        <f t="shared" si="8"/>
        <v>0.4</v>
      </c>
      <c r="L26" s="255">
        <f t="shared" si="9"/>
        <v>0.4</v>
      </c>
      <c r="M26" s="256">
        <f t="shared" si="10"/>
        <v>0</v>
      </c>
      <c r="N26" s="256">
        <f t="shared" si="11"/>
        <v>0</v>
      </c>
      <c r="O26" s="90">
        <f t="shared" si="12"/>
        <v>0</v>
      </c>
      <c r="P26" s="257"/>
      <c r="Q26" s="257"/>
      <c r="S26" s="63">
        <f>IF(B13='Customer Load Sheet'!$B$97,ESA!M13,0)</f>
        <v>0</v>
      </c>
      <c r="T26" s="63">
        <f>IF(B13='Customer Load Sheet'!$B$104,ESA!N13,0)</f>
        <v>0</v>
      </c>
      <c r="Y26" s="97"/>
    </row>
    <row r="27" spans="1:25" ht="23.25" customHeight="1" x14ac:dyDescent="0.3">
      <c r="A27" s="1"/>
      <c r="B27" s="292" t="str">
        <f>IF('Customer Load Sheet'!B62=0,"Use for Spacing Only",'Customer Load Sheet'!B62)</f>
        <v>Lighting</v>
      </c>
      <c r="C27" s="278">
        <f>'Customer Load Sheet'!C62</f>
        <v>0</v>
      </c>
      <c r="D27" s="278">
        <f>'Customer Load Sheet'!D62</f>
        <v>0</v>
      </c>
      <c r="E27" s="278">
        <f>'Customer Load Sheet'!E62</f>
        <v>0</v>
      </c>
      <c r="F27" s="278">
        <f>'Customer Load Sheet'!F62</f>
        <v>0</v>
      </c>
      <c r="G27" s="278">
        <f>'Customer Load Sheet'!G62</f>
        <v>0</v>
      </c>
      <c r="H27" s="155">
        <f t="shared" si="7"/>
        <v>52</v>
      </c>
      <c r="I27" s="253" t="str">
        <f>'Customer Load Sheet'!H62</f>
        <v xml:space="preserve"> </v>
      </c>
      <c r="J27" s="86"/>
      <c r="K27" s="254">
        <f t="shared" si="8"/>
        <v>1</v>
      </c>
      <c r="L27" s="255">
        <f t="shared" si="9"/>
        <v>1</v>
      </c>
      <c r="M27" s="256">
        <f t="shared" si="10"/>
        <v>0</v>
      </c>
      <c r="N27" s="256">
        <f t="shared" si="11"/>
        <v>0</v>
      </c>
      <c r="O27" s="90">
        <f t="shared" si="12"/>
        <v>0</v>
      </c>
      <c r="P27" s="257"/>
      <c r="Q27" s="257"/>
      <c r="S27" s="63">
        <f>IF(B14='Customer Load Sheet'!$B$97,ESA!M14,0)</f>
        <v>0</v>
      </c>
      <c r="T27" s="63">
        <f>IF(B14='Customer Load Sheet'!$B$104,ESA!N14,0)</f>
        <v>0</v>
      </c>
      <c r="Y27" s="97"/>
    </row>
    <row r="28" spans="1:25" ht="23.25" customHeight="1" x14ac:dyDescent="0.3">
      <c r="A28" s="1"/>
      <c r="B28" s="292" t="str">
        <f>IF('Customer Load Sheet'!B63=0,"Use for Spacing Only",'Customer Load Sheet'!B63)</f>
        <v>Laundry</v>
      </c>
      <c r="C28" s="278">
        <f>'Customer Load Sheet'!C63</f>
        <v>0</v>
      </c>
      <c r="D28" s="278">
        <f>'Customer Load Sheet'!D63</f>
        <v>0</v>
      </c>
      <c r="E28" s="278">
        <f>'Customer Load Sheet'!E63</f>
        <v>0</v>
      </c>
      <c r="F28" s="278">
        <f>'Customer Load Sheet'!F63</f>
        <v>0</v>
      </c>
      <c r="G28" s="278">
        <f>'Customer Load Sheet'!G63</f>
        <v>0</v>
      </c>
      <c r="H28" s="155">
        <f t="shared" si="7"/>
        <v>52</v>
      </c>
      <c r="I28" s="253" t="str">
        <f>'Customer Load Sheet'!H63</f>
        <v xml:space="preserve"> </v>
      </c>
      <c r="J28" s="86"/>
      <c r="K28" s="254">
        <f t="shared" si="8"/>
        <v>0.5</v>
      </c>
      <c r="L28" s="255">
        <f t="shared" si="9"/>
        <v>0.5</v>
      </c>
      <c r="M28" s="256">
        <f t="shared" si="10"/>
        <v>0</v>
      </c>
      <c r="N28" s="256">
        <f t="shared" si="11"/>
        <v>0</v>
      </c>
      <c r="O28" s="90">
        <f t="shared" si="12"/>
        <v>0</v>
      </c>
      <c r="P28" s="257"/>
      <c r="Q28" s="257"/>
      <c r="S28" s="63">
        <f>IF(B15='Customer Load Sheet'!$B$97,ESA!M15,0)</f>
        <v>0</v>
      </c>
      <c r="T28" s="63">
        <f>IF(B15='Customer Load Sheet'!$B$104,ESA!N15,0)</f>
        <v>0</v>
      </c>
      <c r="Y28" s="97"/>
    </row>
    <row r="29" spans="1:25" ht="23.25" customHeight="1" x14ac:dyDescent="0.3">
      <c r="A29" s="1"/>
      <c r="B29" s="292" t="str">
        <f>IF('Customer Load Sheet'!B64=0,"Use for Spacing Only",'Customer Load Sheet'!B64)</f>
        <v>Motor Loads Semi Continuous</v>
      </c>
      <c r="C29" s="278">
        <f>'Customer Load Sheet'!C64</f>
        <v>0</v>
      </c>
      <c r="D29" s="278">
        <f>'Customer Load Sheet'!D64</f>
        <v>0</v>
      </c>
      <c r="E29" s="278">
        <f>'Customer Load Sheet'!E64</f>
        <v>0</v>
      </c>
      <c r="F29" s="278">
        <f>'Customer Load Sheet'!F64</f>
        <v>0</v>
      </c>
      <c r="G29" s="278">
        <f>'Customer Load Sheet'!G64</f>
        <v>0</v>
      </c>
      <c r="H29" s="155">
        <f t="shared" si="7"/>
        <v>52</v>
      </c>
      <c r="I29" s="253" t="str">
        <f>'Customer Load Sheet'!H64</f>
        <v xml:space="preserve"> </v>
      </c>
      <c r="J29" s="86"/>
      <c r="K29" s="254">
        <f t="shared" si="8"/>
        <v>0.5</v>
      </c>
      <c r="L29" s="255">
        <f t="shared" si="9"/>
        <v>0.5</v>
      </c>
      <c r="M29" s="256">
        <f t="shared" si="10"/>
        <v>0</v>
      </c>
      <c r="N29" s="256">
        <f t="shared" si="11"/>
        <v>0</v>
      </c>
      <c r="O29" s="90">
        <f t="shared" si="12"/>
        <v>0</v>
      </c>
      <c r="P29" s="257"/>
      <c r="Q29" s="257"/>
      <c r="S29" s="63">
        <f>IF(B16='Customer Load Sheet'!$B$97,ESA!M16,0)</f>
        <v>0</v>
      </c>
      <c r="T29" s="63">
        <f>IF(B16='Customer Load Sheet'!$B$104,ESA!N16,0)</f>
        <v>0</v>
      </c>
      <c r="Y29" s="97"/>
    </row>
    <row r="30" spans="1:25" ht="39" x14ac:dyDescent="0.3">
      <c r="A30" s="2"/>
      <c r="B30" s="52" t="str">
        <f>'Customer Load Sheet'!B65</f>
        <v>Subtotal Apartments-Non Heat</v>
      </c>
      <c r="C30" s="265">
        <f>'Customer Load Sheet'!C65</f>
        <v>0</v>
      </c>
      <c r="D30" s="265">
        <f>'Customer Load Sheet'!D65</f>
        <v>0</v>
      </c>
      <c r="E30" s="265">
        <f>'Customer Load Sheet'!E65</f>
        <v>0</v>
      </c>
      <c r="F30" s="278">
        <f>'Customer Load Sheet'!F65</f>
        <v>0</v>
      </c>
      <c r="G30" s="278">
        <f>'Customer Load Sheet'!G65</f>
        <v>0</v>
      </c>
      <c r="H30" s="265"/>
      <c r="I30" s="291" t="str">
        <f>'Customer Load Sheet'!H65</f>
        <v>SUBTOTAL APT-NON Heat</v>
      </c>
      <c r="J30" s="86"/>
      <c r="K30" s="254"/>
      <c r="L30" s="52" t="s">
        <v>102</v>
      </c>
      <c r="M30" s="267">
        <f>SUM(M22:M29)</f>
        <v>0</v>
      </c>
      <c r="N30" s="267">
        <f t="shared" si="11"/>
        <v>0</v>
      </c>
      <c r="O30" s="51">
        <f>SUM(O22:O29)</f>
        <v>0</v>
      </c>
      <c r="P30" s="257"/>
      <c r="Q30" s="257"/>
      <c r="S30" s="63">
        <f>IF(B17='Customer Load Sheet'!$B$97,ESA!M17,0)</f>
        <v>0</v>
      </c>
      <c r="T30" s="63">
        <f>IF(B17='Customer Load Sheet'!$B$104,ESA!N17,0)</f>
        <v>0</v>
      </c>
      <c r="Y30" s="97"/>
    </row>
    <row r="31" spans="1:25" ht="23.25" customHeight="1" x14ac:dyDescent="0.3">
      <c r="A31" s="1"/>
      <c r="B31" s="55" t="str">
        <f>IF('Customer Load Sheet'!B66=0,"Use for Spacing Only",'Customer Load Sheet'!B66)</f>
        <v xml:space="preserve">A/C </v>
      </c>
      <c r="C31" s="265">
        <f>'Customer Load Sheet'!C66</f>
        <v>0</v>
      </c>
      <c r="D31" s="265">
        <f>'Customer Load Sheet'!D66</f>
        <v>0</v>
      </c>
      <c r="E31" s="265">
        <f>'Customer Load Sheet'!E66</f>
        <v>0</v>
      </c>
      <c r="F31" s="278">
        <f>'Customer Load Sheet'!F66</f>
        <v>0</v>
      </c>
      <c r="G31" s="278">
        <f>'Customer Load Sheet'!G66</f>
        <v>0</v>
      </c>
      <c r="H31" s="155">
        <f>VLOOKUP(B31,LOAD_TYPE_RES_HVAC,3,0)</f>
        <v>16</v>
      </c>
      <c r="I31" s="253">
        <f>'Customer Load Sheet'!H66</f>
        <v>0</v>
      </c>
      <c r="J31" s="86"/>
      <c r="K31" s="254">
        <f>VLOOKUP(B31,LOAD_TYPE_RES_HVAC,2,0)</f>
        <v>0.75</v>
      </c>
      <c r="L31" s="255">
        <f>VLOOKUP(B31,LOAD_TYPE_RES_HVAC,2,0)</f>
        <v>0.75</v>
      </c>
      <c r="M31" s="256">
        <f>C31*L31*$P$22</f>
        <v>0</v>
      </c>
      <c r="N31" s="256">
        <f t="shared" si="11"/>
        <v>0</v>
      </c>
      <c r="O31" s="90">
        <f>M31*H31*G31</f>
        <v>0</v>
      </c>
      <c r="P31" s="257"/>
      <c r="Q31" s="257"/>
      <c r="S31" s="63">
        <f>IF(B18='Customer Load Sheet'!$B$97,ESA!M18,0)</f>
        <v>0</v>
      </c>
      <c r="T31" s="63">
        <f>IF(B18='Customer Load Sheet'!$B$104,ESA!N18,0)</f>
        <v>0</v>
      </c>
      <c r="Y31" s="97"/>
    </row>
    <row r="32" spans="1:25" ht="23.25" customHeight="1" x14ac:dyDescent="0.3">
      <c r="A32" s="1"/>
      <c r="B32" s="55" t="str">
        <f>IF('Customer Load Sheet'!B67=0,"Use for Spacing Only",'Customer Load Sheet'!B67)</f>
        <v>Heating including Heat Pumps</v>
      </c>
      <c r="C32" s="265">
        <f>'Customer Load Sheet'!C67</f>
        <v>0</v>
      </c>
      <c r="D32" s="265">
        <f>'Customer Load Sheet'!D67</f>
        <v>0</v>
      </c>
      <c r="E32" s="265">
        <f>'Customer Load Sheet'!E67</f>
        <v>0</v>
      </c>
      <c r="F32" s="278">
        <f>'Customer Load Sheet'!F67</f>
        <v>0</v>
      </c>
      <c r="G32" s="278">
        <f>'Customer Load Sheet'!G67</f>
        <v>0</v>
      </c>
      <c r="H32" s="155">
        <f>VLOOKUP(B32,LOAD_TYPE_RES_HVAC,3,0)</f>
        <v>36</v>
      </c>
      <c r="I32" s="253">
        <f>'Customer Load Sheet'!H67</f>
        <v>0</v>
      </c>
      <c r="J32" s="86"/>
      <c r="K32" s="254">
        <f>VLOOKUP(B32,LOAD_TYPE_RES_HVAC,2,0)</f>
        <v>0.75</v>
      </c>
      <c r="L32" s="255">
        <f>VLOOKUP(B32,LOAD_TYPE_RES_HVAC,2,0)</f>
        <v>0.75</v>
      </c>
      <c r="M32" s="256">
        <f>C32*L32*$P$22</f>
        <v>0</v>
      </c>
      <c r="N32" s="256">
        <f t="shared" si="11"/>
        <v>0</v>
      </c>
      <c r="O32" s="90">
        <f>M32*H32*G32</f>
        <v>0</v>
      </c>
      <c r="P32" s="257"/>
      <c r="Q32" s="257"/>
      <c r="S32" s="63">
        <f>IF(B19='Customer Load Sheet'!$B$97,ESA!M19,0)</f>
        <v>0</v>
      </c>
      <c r="T32" s="63">
        <f>IF(B19='Customer Load Sheet'!$B$104,ESA!N19,0)</f>
        <v>0</v>
      </c>
      <c r="Y32" s="97"/>
    </row>
    <row r="33" spans="1:20" ht="39" x14ac:dyDescent="0.3">
      <c r="A33" s="2"/>
      <c r="B33" s="52" t="str">
        <f>'Customer Load Sheet'!B68</f>
        <v>Subtotal Apartments-Heat and A/C</v>
      </c>
      <c r="C33" s="265">
        <f>'Customer Load Sheet'!C68</f>
        <v>0</v>
      </c>
      <c r="D33" s="265">
        <f>'Customer Load Sheet'!D68</f>
        <v>0</v>
      </c>
      <c r="E33" s="265">
        <f>'Customer Load Sheet'!E68</f>
        <v>0</v>
      </c>
      <c r="F33" s="278">
        <f>'Customer Load Sheet'!F68</f>
        <v>0</v>
      </c>
      <c r="G33" s="278">
        <f>'Customer Load Sheet'!G68</f>
        <v>0</v>
      </c>
      <c r="H33" s="266"/>
      <c r="I33" s="52" t="str">
        <f>'Customer Load Sheet'!H68</f>
        <v>SUBTOTAL APT-HEAT</v>
      </c>
      <c r="J33" s="86"/>
      <c r="K33" s="254"/>
      <c r="L33" s="52" t="s">
        <v>104</v>
      </c>
      <c r="M33" s="267">
        <f>SUM(M31:M32)</f>
        <v>0</v>
      </c>
      <c r="N33" s="267">
        <f t="shared" si="11"/>
        <v>0</v>
      </c>
      <c r="O33" s="51">
        <f>SUM(O31:O32)</f>
        <v>0</v>
      </c>
      <c r="P33" s="257"/>
      <c r="Q33" s="257"/>
      <c r="S33" s="63">
        <f>SUM(S17:S32)</f>
        <v>0</v>
      </c>
      <c r="T33" s="63">
        <f>SUM(T17:T32)</f>
        <v>0</v>
      </c>
    </row>
    <row r="34" spans="1:20" ht="27.75" customHeight="1" x14ac:dyDescent="0.3">
      <c r="A34" s="2"/>
      <c r="B34" s="52" t="str">
        <f>'Customer Load Sheet'!B70</f>
        <v>Total New Connected Load</v>
      </c>
      <c r="C34" s="265">
        <f>'Customer Load Sheet'!C69</f>
        <v>0</v>
      </c>
      <c r="D34" s="265">
        <f>'Customer Load Sheet'!D69</f>
        <v>0</v>
      </c>
      <c r="E34" s="265">
        <f>'Customer Load Sheet'!E69</f>
        <v>0</v>
      </c>
      <c r="F34" s="278">
        <f>'Customer Load Sheet'!F69</f>
        <v>0</v>
      </c>
      <c r="G34" s="278">
        <f>'Customer Load Sheet'!G69</f>
        <v>0</v>
      </c>
      <c r="H34" s="266"/>
      <c r="I34" s="52" t="str">
        <f>'Customer Load Sheet'!H69</f>
        <v>TOTAL RESIDENTIAL LOADS</v>
      </c>
      <c r="J34" s="86"/>
      <c r="K34" s="254"/>
      <c r="L34" s="52" t="str">
        <f>I34</f>
        <v>TOTAL RESIDENTIAL LOADS</v>
      </c>
      <c r="M34" s="267">
        <f>M33+M30</f>
        <v>0</v>
      </c>
      <c r="N34" s="267">
        <f>N33+N30</f>
        <v>0</v>
      </c>
      <c r="O34" s="267">
        <f>O33+O30</f>
        <v>0</v>
      </c>
      <c r="P34" s="52" t="s">
        <v>286</v>
      </c>
      <c r="Q34" s="268">
        <f>IF($P$38=3,($M$34*1000)/($P$37*$P$40*1.732),($M$34*1000)/($P$37*$P$40))</f>
        <v>0</v>
      </c>
      <c r="S34" s="64">
        <f>SUM(S33+S14+S11)</f>
        <v>0</v>
      </c>
      <c r="T34" s="64">
        <f>SUM(T33+T14+T11)</f>
        <v>0</v>
      </c>
    </row>
    <row r="35" spans="1:20" ht="22.5" customHeight="1" x14ac:dyDescent="0.3">
      <c r="A35" s="2"/>
      <c r="B35" s="304"/>
      <c r="C35" s="304"/>
      <c r="D35" s="265">
        <f>'Customer Load Sheet'!D70</f>
        <v>0</v>
      </c>
      <c r="E35" s="265">
        <f>'Customer Load Sheet'!E70</f>
        <v>0</v>
      </c>
      <c r="F35" s="278">
        <f>'Customer Load Sheet'!F70</f>
        <v>0</v>
      </c>
      <c r="G35" s="278" t="str">
        <f>'Customer Load Sheet'!G70</f>
        <v xml:space="preserve"> </v>
      </c>
      <c r="H35" s="266"/>
      <c r="I35" s="253" t="str">
        <f>'Customer Load Sheet'!H70</f>
        <v xml:space="preserve"> </v>
      </c>
      <c r="J35" s="86"/>
      <c r="K35" s="254"/>
      <c r="L35" s="254"/>
      <c r="M35" s="254"/>
      <c r="N35" s="254"/>
      <c r="O35" s="254"/>
      <c r="P35" s="305" t="s">
        <v>505</v>
      </c>
      <c r="Q35" s="306" t="e">
        <f>N34/P24</f>
        <v>#DIV/0!</v>
      </c>
      <c r="S35" s="64"/>
      <c r="T35" s="64"/>
    </row>
    <row r="36" spans="1:20" ht="35.25" customHeight="1" x14ac:dyDescent="0.3">
      <c r="A36" s="2"/>
      <c r="B36" s="30" t="str">
        <f>'Customer Load Sheet'!B70</f>
        <v>Total New Connected Load</v>
      </c>
      <c r="C36" s="198">
        <f>'Customer Load Sheet'!C70</f>
        <v>0</v>
      </c>
      <c r="D36" s="198">
        <f>'Customer Load Sheet'!D70</f>
        <v>0</v>
      </c>
      <c r="E36" s="198">
        <f>'Customer Load Sheet'!E70</f>
        <v>0</v>
      </c>
      <c r="F36" s="198">
        <f>'Customer Load Sheet'!F70</f>
        <v>0</v>
      </c>
      <c r="G36" s="199" t="str">
        <f>'Customer Load Sheet'!G70</f>
        <v xml:space="preserve"> </v>
      </c>
      <c r="H36" s="199"/>
      <c r="I36" s="198" t="str">
        <f>'Customer Load Sheet'!H70</f>
        <v xml:space="preserve"> </v>
      </c>
      <c r="L36" s="192"/>
      <c r="M36" s="193" t="s">
        <v>506</v>
      </c>
      <c r="N36" s="193" t="s">
        <v>507</v>
      </c>
      <c r="S36" s="93"/>
    </row>
    <row r="37" spans="1:20" ht="52" x14ac:dyDescent="0.3">
      <c r="A37" s="2"/>
      <c r="B37" s="2"/>
      <c r="C37" s="2"/>
      <c r="D37" s="2"/>
      <c r="E37" s="2"/>
      <c r="F37" s="2"/>
      <c r="G37" s="2"/>
      <c r="H37" s="2"/>
      <c r="I37" s="2"/>
      <c r="L37" s="201" t="s">
        <v>166</v>
      </c>
      <c r="M37" s="194">
        <f>SUM(M20+M33+M30)-S34-T34+(MAX(S34,T34))</f>
        <v>0</v>
      </c>
      <c r="N37" s="195">
        <f>M37/P$40</f>
        <v>0</v>
      </c>
      <c r="O37" s="24" t="s">
        <v>130</v>
      </c>
      <c r="P37" s="26">
        <f>'Customer Load Sheet'!D26</f>
        <v>208</v>
      </c>
      <c r="Q37" s="2"/>
    </row>
    <row r="38" spans="1:20" ht="65" x14ac:dyDescent="0.3">
      <c r="B38" s="10" t="str">
        <f>'Customer Load Sheet'!B72</f>
        <v>Completed by</v>
      </c>
      <c r="C38" s="523" t="str">
        <f>'Customer Load Sheet'!C72</f>
        <v xml:space="preserve"> </v>
      </c>
      <c r="D38" s="524"/>
      <c r="E38" s="524"/>
      <c r="F38" s="524"/>
      <c r="G38" s="524"/>
      <c r="H38" s="524"/>
      <c r="I38" s="525"/>
      <c r="L38" s="202" t="s">
        <v>257</v>
      </c>
      <c r="M38" s="66"/>
      <c r="N38" s="196">
        <f>M38/$P$40</f>
        <v>0</v>
      </c>
      <c r="O38" s="24" t="s">
        <v>55</v>
      </c>
      <c r="P38" s="26">
        <f>'Customer Load Sheet'!F26</f>
        <v>3</v>
      </c>
      <c r="Q38" s="22" t="s">
        <v>292</v>
      </c>
    </row>
    <row r="39" spans="1:20" ht="32" x14ac:dyDescent="0.3">
      <c r="A39" t="s">
        <v>1</v>
      </c>
      <c r="B39" s="6" t="str">
        <f>'Customer Load Sheet'!B73</f>
        <v>Brief Description of Project or Additional Comments</v>
      </c>
      <c r="C39" s="516" t="str">
        <f>'Customer Load Sheet'!C73:H73</f>
        <v xml:space="preserve"> </v>
      </c>
      <c r="D39" s="517" t="e">
        <f>'Customer Load Sheet'!#REF!</f>
        <v>#REF!</v>
      </c>
      <c r="E39" s="517" t="e">
        <f>'Customer Load Sheet'!#REF!</f>
        <v>#REF!</v>
      </c>
      <c r="F39" s="517" t="e">
        <f>'Customer Load Sheet'!#REF!</f>
        <v>#REF!</v>
      </c>
      <c r="G39" s="517" t="e">
        <f>'Customer Load Sheet'!#REF!</f>
        <v>#REF!</v>
      </c>
      <c r="H39" s="517"/>
      <c r="I39" s="518" t="e">
        <f>'Customer Load Sheet'!#REF!</f>
        <v>#REF!</v>
      </c>
      <c r="L39" s="203" t="s">
        <v>133</v>
      </c>
      <c r="M39" s="90">
        <f>SUM(M38+M37)</f>
        <v>0</v>
      </c>
      <c r="N39" s="197">
        <f>SUM(N38+N37)</f>
        <v>0</v>
      </c>
      <c r="O39" s="24" t="s">
        <v>452</v>
      </c>
      <c r="P39" s="89">
        <f>IF($P$38=3,($M$39*1000)/($P$37*$P$40*1.732),($M$39*1000)/($P$37*$P$38))</f>
        <v>0</v>
      </c>
      <c r="Q39" s="422" t="e">
        <f>P39/'Customer Load Sheet'!F25</f>
        <v>#DIV/0!</v>
      </c>
    </row>
    <row r="40" spans="1:20" ht="65" x14ac:dyDescent="0.3">
      <c r="B40" s="6" t="s">
        <v>140</v>
      </c>
      <c r="C40" s="526"/>
      <c r="D40" s="527"/>
      <c r="E40" s="527"/>
      <c r="F40" s="527"/>
      <c r="G40" s="527"/>
      <c r="H40" s="527"/>
      <c r="I40" s="528"/>
      <c r="L40" s="204" t="s">
        <v>238</v>
      </c>
      <c r="M40" s="66"/>
      <c r="N40" s="196">
        <f>M40/P40</f>
        <v>0</v>
      </c>
      <c r="O40" s="21" t="s">
        <v>151</v>
      </c>
      <c r="P40" s="66">
        <v>0.95</v>
      </c>
    </row>
    <row r="41" spans="1:20" ht="26" x14ac:dyDescent="0.3">
      <c r="C41" s="529"/>
      <c r="D41" s="530"/>
      <c r="E41" s="530"/>
      <c r="F41" s="530"/>
      <c r="G41" s="530"/>
      <c r="H41" s="530"/>
      <c r="I41" s="531"/>
      <c r="L41" s="205" t="s">
        <v>510</v>
      </c>
      <c r="M41" s="79">
        <f>M40+M39</f>
        <v>0</v>
      </c>
      <c r="N41" s="79">
        <f>N40+N39</f>
        <v>0</v>
      </c>
      <c r="O41" s="24" t="s">
        <v>131</v>
      </c>
      <c r="P41" s="421">
        <f>M41*1000/'Customer Load Sheet'!H18</f>
        <v>0</v>
      </c>
      <c r="Q41" s="2"/>
    </row>
    <row r="42" spans="1:20" x14ac:dyDescent="0.25">
      <c r="C42" s="532"/>
      <c r="D42" s="533"/>
      <c r="E42" s="533"/>
      <c r="F42" s="533"/>
      <c r="G42" s="533"/>
      <c r="H42" s="533"/>
      <c r="I42" s="534"/>
      <c r="Q42" s="2"/>
    </row>
    <row r="43" spans="1:20" ht="21.5" thickBot="1" x14ac:dyDescent="0.3">
      <c r="C43" s="80"/>
      <c r="D43" s="80"/>
      <c r="E43" s="80"/>
      <c r="F43" s="80"/>
      <c r="G43" s="80"/>
      <c r="H43" s="80"/>
      <c r="I43" s="80"/>
      <c r="L43" s="206" t="s">
        <v>241</v>
      </c>
      <c r="M43" s="207">
        <f>O20</f>
        <v>0</v>
      </c>
      <c r="O43" s="214" t="s">
        <v>135</v>
      </c>
      <c r="P43" s="92">
        <v>0.14000000000000001</v>
      </c>
    </row>
    <row r="44" spans="1:20" ht="32" thickBot="1" x14ac:dyDescent="0.3">
      <c r="B44" s="538" t="s">
        <v>542</v>
      </c>
      <c r="C44" s="539"/>
      <c r="D44" s="540"/>
      <c r="F44" s="543" t="s">
        <v>549</v>
      </c>
      <c r="G44" s="544"/>
      <c r="H44" s="544"/>
      <c r="I44" s="544"/>
      <c r="J44" s="545"/>
      <c r="L44" s="203" t="s">
        <v>239</v>
      </c>
      <c r="M44" s="208">
        <f>M43*P43</f>
        <v>0</v>
      </c>
      <c r="O44" s="215" t="s">
        <v>244</v>
      </c>
      <c r="P44" s="86"/>
      <c r="Q44" s="2"/>
    </row>
    <row r="45" spans="1:20" ht="15.5" x14ac:dyDescent="0.25">
      <c r="B45" s="535" t="s">
        <v>543</v>
      </c>
      <c r="C45" s="536"/>
      <c r="D45" s="537"/>
      <c r="F45" s="541" t="s">
        <v>545</v>
      </c>
      <c r="G45" s="542"/>
      <c r="H45" s="348">
        <f>'Customer Load Sheet'!C32</f>
        <v>1</v>
      </c>
      <c r="I45" s="546" t="s">
        <v>566</v>
      </c>
      <c r="J45" s="547"/>
      <c r="L45" s="209"/>
      <c r="M45" s="210"/>
      <c r="Q45" s="2"/>
    </row>
    <row r="46" spans="1:20" ht="22" x14ac:dyDescent="0.35">
      <c r="B46" s="508" t="str">
        <f>'Transmission-Distribution Plan'!C67&amp; " * "&amp;'Transmission-Distribution Plan'!G67</f>
        <v>1 * U3TD3GFAPFE</v>
      </c>
      <c r="C46" s="509"/>
      <c r="D46" s="510"/>
      <c r="F46" s="519" t="s">
        <v>548</v>
      </c>
      <c r="G46" s="520"/>
      <c r="H46" s="349">
        <f>'Customer Load Sheet'!C33</f>
        <v>1</v>
      </c>
      <c r="I46" s="546"/>
      <c r="J46" s="547"/>
      <c r="L46" s="203" t="s">
        <v>242</v>
      </c>
      <c r="M46" s="211">
        <f>O34</f>
        <v>0</v>
      </c>
    </row>
    <row r="47" spans="1:20" ht="32.5" x14ac:dyDescent="0.35">
      <c r="B47" s="508" t="str">
        <f>'Transmission-Distribution Plan'!D67&amp; " KVA"</f>
        <v>150 KVA</v>
      </c>
      <c r="C47" s="509"/>
      <c r="D47" s="510"/>
      <c r="F47" s="519" t="s">
        <v>547</v>
      </c>
      <c r="G47" s="520"/>
      <c r="H47" s="349">
        <f>'Customer Load Sheet'!F33</f>
        <v>0</v>
      </c>
      <c r="I47" s="546"/>
      <c r="J47" s="547"/>
      <c r="L47" s="212" t="s">
        <v>243</v>
      </c>
      <c r="M47" s="213">
        <f>M46*P43</f>
        <v>0</v>
      </c>
    </row>
    <row r="48" spans="1:20" ht="16" thickBot="1" x14ac:dyDescent="0.4">
      <c r="B48" s="508" t="str">
        <f>'Transmission-Distribution Plan'!F67</f>
        <v xml:space="preserve">D866043E </v>
      </c>
      <c r="C48" s="509"/>
      <c r="D48" s="510"/>
      <c r="F48" s="521" t="s">
        <v>546</v>
      </c>
      <c r="G48" s="522"/>
      <c r="H48" s="350">
        <f>'Customer Load Sheet'!C34</f>
        <v>0</v>
      </c>
      <c r="I48" s="548"/>
      <c r="J48" s="549"/>
    </row>
    <row r="49" spans="2:4" ht="15.5" x14ac:dyDescent="0.35">
      <c r="B49" s="508" t="str">
        <f>'Transmission-Distribution Plan'!E67</f>
        <v>PADXMR 3P 150K 12GY/7.2 208Y/120P F NT E</v>
      </c>
      <c r="C49" s="509"/>
      <c r="D49" s="510"/>
    </row>
    <row r="50" spans="2:4" ht="15.5" x14ac:dyDescent="0.35">
      <c r="B50" s="381"/>
      <c r="C50" s="382"/>
      <c r="D50" s="383"/>
    </row>
    <row r="51" spans="2:4" ht="15.5" x14ac:dyDescent="0.35">
      <c r="B51" s="514" t="s">
        <v>544</v>
      </c>
      <c r="C51" s="506"/>
      <c r="D51" s="515"/>
    </row>
    <row r="52" spans="2:4" ht="16" thickBot="1" x14ac:dyDescent="0.4">
      <c r="B52" s="511" t="str">
        <f>'Customer Load Sheet'!H32</f>
        <v>Service Center</v>
      </c>
      <c r="C52" s="512"/>
      <c r="D52" s="513"/>
    </row>
    <row r="56" spans="2:4" ht="13" x14ac:dyDescent="0.3">
      <c r="B56" s="12" t="s">
        <v>114</v>
      </c>
      <c r="C56" s="11" t="s">
        <v>43</v>
      </c>
    </row>
    <row r="57" spans="2:4" x14ac:dyDescent="0.25">
      <c r="B57" s="14" t="s">
        <v>117</v>
      </c>
      <c r="C57" s="15">
        <v>0.63</v>
      </c>
    </row>
    <row r="58" spans="2:4" x14ac:dyDescent="0.25">
      <c r="B58" s="14" t="s">
        <v>118</v>
      </c>
      <c r="C58" s="15">
        <v>0.53</v>
      </c>
    </row>
    <row r="59" spans="2:4" x14ac:dyDescent="0.25">
      <c r="B59" s="14" t="s">
        <v>123</v>
      </c>
      <c r="C59" s="15">
        <v>0.49</v>
      </c>
    </row>
    <row r="60" spans="2:4" x14ac:dyDescent="0.25">
      <c r="B60" s="23" t="s">
        <v>115</v>
      </c>
      <c r="C60" s="15">
        <v>1</v>
      </c>
    </row>
    <row r="61" spans="2:4" ht="12.75" customHeight="1" x14ac:dyDescent="0.25">
      <c r="B61" s="14" t="s">
        <v>119</v>
      </c>
      <c r="C61" s="15">
        <v>0.46</v>
      </c>
    </row>
    <row r="62" spans="2:4" x14ac:dyDescent="0.25">
      <c r="B62" s="14" t="s">
        <v>120</v>
      </c>
      <c r="C62" s="15">
        <v>0.44</v>
      </c>
    </row>
    <row r="63" spans="2:4" x14ac:dyDescent="0.25">
      <c r="B63" s="14" t="s">
        <v>240</v>
      </c>
      <c r="C63" s="15">
        <v>0.42</v>
      </c>
    </row>
    <row r="64" spans="2:4" x14ac:dyDescent="0.25">
      <c r="B64" s="14" t="s">
        <v>121</v>
      </c>
      <c r="C64" s="15">
        <v>0.41</v>
      </c>
    </row>
    <row r="65" spans="2:16" x14ac:dyDescent="0.25">
      <c r="B65" s="14" t="s">
        <v>122</v>
      </c>
      <c r="C65" s="15">
        <v>0.4</v>
      </c>
    </row>
    <row r="66" spans="2:16" x14ac:dyDescent="0.25">
      <c r="B66" s="14" t="s">
        <v>116</v>
      </c>
      <c r="C66" s="15">
        <v>0.78</v>
      </c>
    </row>
    <row r="67" spans="2:16" x14ac:dyDescent="0.25">
      <c r="B67" s="14" t="s">
        <v>61</v>
      </c>
      <c r="C67" s="15">
        <v>1</v>
      </c>
    </row>
    <row r="73" spans="2:16" x14ac:dyDescent="0.25">
      <c r="P73" t="s">
        <v>1</v>
      </c>
    </row>
  </sheetData>
  <sheetProtection algorithmName="SHA-512" hashValue="ZScPjEWtuZpZRPEX2kPN3hfLBzgF5FfkRyHyW6zNtutYygzW8m8LNo9mrgOP0LT6T0gQPs1VWs5zD5bmGdfaCg==" saltValue="RHQJi1MUitEgmh6oHgFupg==" spinCount="100000" sheet="1" objects="1" scenarios="1"/>
  <protectedRanges>
    <protectedRange sqref="C50:C52" name="Deposit Calculator"/>
  </protectedRanges>
  <mergeCells count="17">
    <mergeCell ref="C38:I38"/>
    <mergeCell ref="C40:I42"/>
    <mergeCell ref="B45:D45"/>
    <mergeCell ref="B46:D46"/>
    <mergeCell ref="B44:D44"/>
    <mergeCell ref="F45:G45"/>
    <mergeCell ref="F46:G46"/>
    <mergeCell ref="F44:J44"/>
    <mergeCell ref="I45:J48"/>
    <mergeCell ref="B47:D47"/>
    <mergeCell ref="B48:D48"/>
    <mergeCell ref="B49:D49"/>
    <mergeCell ref="B52:D52"/>
    <mergeCell ref="B51:D51"/>
    <mergeCell ref="C39:I39"/>
    <mergeCell ref="F47:G47"/>
    <mergeCell ref="F48:G48"/>
  </mergeCells>
  <conditionalFormatting sqref="I33:I34">
    <cfRule type="cellIs" dxfId="2" priority="2" operator="equal">
      <formula>H33</formula>
    </cfRule>
  </conditionalFormatting>
  <conditionalFormatting sqref="L4:L19">
    <cfRule type="cellIs" dxfId="1" priority="19" operator="equal">
      <formula>K4</formula>
    </cfRule>
  </conditionalFormatting>
  <conditionalFormatting sqref="L22:L34">
    <cfRule type="cellIs" dxfId="0" priority="1" operator="equal">
      <formula>K22</formula>
    </cfRule>
  </conditionalFormatting>
  <dataValidations count="1">
    <dataValidation type="list" allowBlank="1" showInputMessage="1" showErrorMessage="1" sqref="P21" xr:uid="{00000000-0002-0000-0100-000000000000}">
      <formula1>Multiple_list</formula1>
    </dataValidation>
  </dataValidations>
  <pageMargins left="0.7" right="0.7" top="0.75" bottom="0.75" header="0.3" footer="0.3"/>
  <pageSetup scale="48" fitToWidth="2" orientation="landscape" r:id="rId1"/>
  <headerFooter>
    <oddHeader>&amp;LESA Sheet &amp;D</oddHeader>
    <oddFooter>&amp;L&amp;D&amp;R&amp;F&amp;C&amp;"Calibri"&amp;11&amp;K000000&amp;"Calibri"&amp;11&amp;K000000&amp;A</oddFooter>
  </headerFooter>
  <rowBreaks count="1" manualBreakCount="1">
    <brk id="35" max="19" man="1"/>
  </rowBreaks>
  <ignoredErrors>
    <ignoredError sqref="C17:G18 I4:O17 H31:H32 L31:L33 H22:H29 L22:L29 I19:J19 I18:J18 M19:O19 M18:O18" unlockedFormula="1"/>
    <ignoredError sqref="N33"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N183"/>
  <sheetViews>
    <sheetView topLeftCell="A9" zoomScaleNormal="100" workbookViewId="0">
      <selection activeCell="M9" sqref="M9"/>
    </sheetView>
  </sheetViews>
  <sheetFormatPr defaultColWidth="8.81640625" defaultRowHeight="12.5" x14ac:dyDescent="0.25"/>
  <cols>
    <col min="1" max="1" width="10.81640625" customWidth="1"/>
    <col min="2" max="2" width="29.1796875" customWidth="1"/>
    <col min="3" max="3" width="16.54296875" customWidth="1"/>
    <col min="4" max="4" width="17.453125" customWidth="1"/>
    <col min="5" max="5" width="22.1796875" customWidth="1"/>
    <col min="6" max="6" width="15.453125" customWidth="1"/>
    <col min="7" max="7" width="11.81640625" customWidth="1"/>
    <col min="8" max="8" width="13" customWidth="1"/>
    <col min="9" max="9" width="13.453125" customWidth="1"/>
    <col min="10" max="10" width="11.1796875" customWidth="1"/>
    <col min="14" max="14" width="20.1796875" customWidth="1"/>
    <col min="15" max="37" width="9.1796875" customWidth="1"/>
  </cols>
  <sheetData>
    <row r="1" spans="1:9" ht="13" thickBot="1" x14ac:dyDescent="0.3">
      <c r="A1" s="563" t="s">
        <v>63</v>
      </c>
      <c r="B1" s="57" t="s">
        <v>64</v>
      </c>
      <c r="C1" s="560" t="str">
        <f>'Customer Load Sheet'!C13</f>
        <v xml:space="preserve"> </v>
      </c>
      <c r="D1" s="561"/>
      <c r="E1" s="561"/>
      <c r="F1" s="561"/>
      <c r="G1" s="561"/>
      <c r="H1" s="562"/>
    </row>
    <row r="2" spans="1:9" ht="14.5" thickBot="1" x14ac:dyDescent="0.35">
      <c r="A2" s="564"/>
      <c r="B2" s="58" t="s">
        <v>325</v>
      </c>
      <c r="C2" s="575" t="str">
        <f>'Customer Load Sheet'!C11</f>
        <v xml:space="preserve"> </v>
      </c>
      <c r="D2" s="576"/>
      <c r="E2" s="577" t="s">
        <v>12</v>
      </c>
      <c r="F2" s="577"/>
      <c r="G2" s="591" t="str">
        <f>'Customer Load Sheet'!C12</f>
        <v xml:space="preserve"> </v>
      </c>
      <c r="H2" s="592"/>
    </row>
    <row r="3" spans="1:9" ht="13" thickBot="1" x14ac:dyDescent="0.3">
      <c r="A3" s="564"/>
      <c r="B3" s="58" t="s">
        <v>11</v>
      </c>
      <c r="C3" s="578" t="str">
        <f>('Customer Load Sheet'!C9&amp;"       "&amp;'Customer Load Sheet'!E9)</f>
        <v xml:space="preserve">         </v>
      </c>
      <c r="D3" s="579"/>
      <c r="E3" s="579"/>
      <c r="F3" s="579"/>
      <c r="G3" s="46"/>
      <c r="H3" s="47"/>
    </row>
    <row r="4" spans="1:9" ht="13" thickBot="1" x14ac:dyDescent="0.3">
      <c r="A4" s="564"/>
      <c r="B4" s="58" t="s">
        <v>65</v>
      </c>
      <c r="C4" s="9" t="s">
        <v>13</v>
      </c>
      <c r="D4" s="31" t="str">
        <f>'Customer Load Sheet'!D14</f>
        <v xml:space="preserve"> </v>
      </c>
      <c r="E4" s="33" t="s">
        <v>14</v>
      </c>
      <c r="F4" s="31" t="str">
        <f>'Customer Load Sheet'!F14</f>
        <v xml:space="preserve"> </v>
      </c>
      <c r="G4" s="33" t="s">
        <v>15</v>
      </c>
      <c r="H4" s="184" t="str">
        <f>'Customer Load Sheet'!H14</f>
        <v xml:space="preserve"> </v>
      </c>
      <c r="I4" s="29"/>
    </row>
    <row r="5" spans="1:9" ht="13" thickBot="1" x14ac:dyDescent="0.3">
      <c r="A5" s="564"/>
      <c r="B5" s="58" t="s">
        <v>66</v>
      </c>
      <c r="C5" s="580" t="str">
        <f>'Customer Load Sheet'!C15</f>
        <v xml:space="preserve"> </v>
      </c>
      <c r="D5" s="581"/>
      <c r="E5" s="581"/>
      <c r="F5" s="581"/>
      <c r="G5" s="581"/>
      <c r="H5" s="582"/>
    </row>
    <row r="6" spans="1:9" ht="13" thickBot="1" x14ac:dyDescent="0.3">
      <c r="A6" s="564"/>
      <c r="B6" s="58" t="s">
        <v>67</v>
      </c>
      <c r="C6" s="580" t="str">
        <f>'Customer Load Sheet'!C17</f>
        <v xml:space="preserve"> </v>
      </c>
      <c r="D6" s="581"/>
      <c r="E6" s="581"/>
      <c r="F6" s="581"/>
      <c r="G6" s="581"/>
      <c r="H6" s="582"/>
    </row>
    <row r="7" spans="1:9" ht="13" thickBot="1" x14ac:dyDescent="0.3">
      <c r="A7" s="565"/>
      <c r="B7" s="59" t="s">
        <v>68</v>
      </c>
      <c r="C7" s="570" t="str">
        <f>'Customer Load Sheet'!C18</f>
        <v xml:space="preserve"> </v>
      </c>
      <c r="D7" s="571"/>
      <c r="E7" s="571"/>
      <c r="F7" s="572"/>
      <c r="G7" s="48" t="s">
        <v>18</v>
      </c>
      <c r="H7" s="185">
        <f>'Customer Load Sheet'!H18</f>
        <v>1000</v>
      </c>
      <c r="I7" s="4"/>
    </row>
    <row r="8" spans="1:9" ht="13.5" thickBot="1" x14ac:dyDescent="0.35">
      <c r="A8" s="1"/>
      <c r="B8" s="1"/>
      <c r="C8" s="4"/>
      <c r="D8" s="4"/>
      <c r="E8" s="4"/>
      <c r="F8" s="4"/>
      <c r="G8" s="4"/>
      <c r="H8" s="4"/>
      <c r="I8" s="4"/>
    </row>
    <row r="9" spans="1:9" ht="24" customHeight="1" x14ac:dyDescent="0.25">
      <c r="A9" s="588" t="s">
        <v>75</v>
      </c>
      <c r="B9" s="180" t="s">
        <v>70</v>
      </c>
      <c r="C9" s="157" t="s">
        <v>71</v>
      </c>
      <c r="D9" s="158" t="str">
        <f>'Customer Load Sheet'!C21</f>
        <v>New</v>
      </c>
      <c r="E9" s="160" t="s">
        <v>69</v>
      </c>
      <c r="F9" s="173" t="s">
        <v>29</v>
      </c>
      <c r="G9" s="162" t="s">
        <v>27</v>
      </c>
      <c r="H9" s="164">
        <f>'Customer Load Sheet'!F26</f>
        <v>3</v>
      </c>
    </row>
    <row r="10" spans="1:9" ht="14" x14ac:dyDescent="0.3">
      <c r="A10" s="589"/>
      <c r="B10" s="181" t="s">
        <v>74</v>
      </c>
      <c r="C10" s="178" t="s">
        <v>24</v>
      </c>
      <c r="D10" s="166">
        <f>'Customer Load Sheet'!D26</f>
        <v>208</v>
      </c>
      <c r="E10" s="163" t="s">
        <v>152</v>
      </c>
      <c r="F10" s="165">
        <f>'Customer Load Sheet'!F25</f>
        <v>0</v>
      </c>
      <c r="G10" s="34" t="s">
        <v>26</v>
      </c>
      <c r="H10" s="176">
        <f>'Customer Load Sheet'!H25</f>
        <v>4</v>
      </c>
    </row>
    <row r="11" spans="1:9" ht="13.4" customHeight="1" x14ac:dyDescent="0.25">
      <c r="A11" s="589"/>
      <c r="B11" s="28" t="s">
        <v>474</v>
      </c>
      <c r="C11" s="187" t="s">
        <v>58</v>
      </c>
      <c r="E11" s="4"/>
      <c r="F11" s="4"/>
      <c r="H11" s="85"/>
    </row>
    <row r="12" spans="1:9" x14ac:dyDescent="0.25">
      <c r="A12" s="589"/>
      <c r="B12" s="28" t="s">
        <v>475</v>
      </c>
      <c r="C12" s="187" t="s">
        <v>476</v>
      </c>
      <c r="D12" s="37" t="s">
        <v>484</v>
      </c>
      <c r="E12" s="169"/>
      <c r="F12" s="4"/>
      <c r="G12" s="4"/>
      <c r="H12" s="159"/>
    </row>
    <row r="13" spans="1:9" x14ac:dyDescent="0.25">
      <c r="A13" s="589"/>
      <c r="B13" s="182" t="s">
        <v>78</v>
      </c>
      <c r="C13" s="187" t="s">
        <v>108</v>
      </c>
      <c r="H13" s="85"/>
    </row>
    <row r="14" spans="1:9" x14ac:dyDescent="0.25">
      <c r="A14" s="589"/>
      <c r="B14" s="182" t="s">
        <v>488</v>
      </c>
      <c r="C14" s="66">
        <v>150</v>
      </c>
      <c r="D14" s="182"/>
      <c r="H14" s="85"/>
    </row>
    <row r="15" spans="1:9" x14ac:dyDescent="0.25">
      <c r="A15" s="589"/>
      <c r="B15" s="28" t="s">
        <v>77</v>
      </c>
      <c r="C15" s="179">
        <v>1</v>
      </c>
      <c r="D15" s="171" t="s">
        <v>483</v>
      </c>
      <c r="E15" s="179">
        <v>1</v>
      </c>
      <c r="G15" s="4"/>
      <c r="H15" s="159"/>
    </row>
    <row r="16" spans="1:9" x14ac:dyDescent="0.25">
      <c r="A16" s="589"/>
      <c r="B16" s="181" t="s">
        <v>489</v>
      </c>
      <c r="C16" s="179">
        <v>5</v>
      </c>
      <c r="E16" s="37"/>
      <c r="F16" s="37"/>
      <c r="G16" s="37"/>
      <c r="H16" s="175"/>
    </row>
    <row r="17" spans="1:10" x14ac:dyDescent="0.25">
      <c r="A17" s="589"/>
      <c r="B17" s="181" t="s">
        <v>147</v>
      </c>
      <c r="C17" s="179" t="s">
        <v>625</v>
      </c>
      <c r="E17" s="36"/>
      <c r="F17" s="37"/>
      <c r="G17" s="37"/>
      <c r="H17" s="175"/>
    </row>
    <row r="18" spans="1:10" x14ac:dyDescent="0.25">
      <c r="A18" s="589"/>
      <c r="B18" s="181" t="s">
        <v>148</v>
      </c>
      <c r="C18" s="179" t="s">
        <v>625</v>
      </c>
      <c r="D18" s="2"/>
      <c r="E18" s="35"/>
      <c r="F18" s="40"/>
      <c r="G18" s="40"/>
      <c r="H18" s="177"/>
      <c r="J18" t="s">
        <v>1</v>
      </c>
    </row>
    <row r="19" spans="1:10" ht="19.399999999999999" customHeight="1" thickBot="1" x14ac:dyDescent="0.3">
      <c r="A19" s="590"/>
      <c r="B19" s="183" t="s">
        <v>151</v>
      </c>
      <c r="C19" s="189">
        <f>ESA!P40</f>
        <v>0.95</v>
      </c>
      <c r="D19" s="170" t="s">
        <v>495</v>
      </c>
      <c r="E19" s="188" t="s">
        <v>149</v>
      </c>
      <c r="F19" s="174" t="s">
        <v>150</v>
      </c>
      <c r="G19" s="172"/>
      <c r="H19" s="168"/>
    </row>
    <row r="20" spans="1:10" ht="13" thickBot="1" x14ac:dyDescent="0.3">
      <c r="A20" s="43"/>
      <c r="B20" s="36"/>
    </row>
    <row r="21" spans="1:10" ht="26.5" customHeight="1" thickBot="1" x14ac:dyDescent="0.3">
      <c r="A21" s="569" t="s">
        <v>79</v>
      </c>
      <c r="B21" s="60" t="s">
        <v>33</v>
      </c>
      <c r="C21" s="56" t="str">
        <f>'Customer Load Sheet'!F31</f>
        <v>Self Contained</v>
      </c>
      <c r="D21" s="573" t="s">
        <v>163</v>
      </c>
      <c r="E21" s="574"/>
      <c r="F21" s="44">
        <f>'Customer Load Sheet'!C32</f>
        <v>1</v>
      </c>
      <c r="G21" s="73" t="str">
        <f>'Customer Load Sheet'!D11</f>
        <v>SIC Code</v>
      </c>
      <c r="H21" s="74">
        <f>'Customer Load Sheet'!E11</f>
        <v>0</v>
      </c>
      <c r="I21" s="41"/>
      <c r="J21" s="45"/>
    </row>
    <row r="22" spans="1:10" ht="55.5" customHeight="1" thickBot="1" x14ac:dyDescent="0.3">
      <c r="A22" s="569"/>
      <c r="B22" s="61" t="s">
        <v>80</v>
      </c>
      <c r="C22" s="56" t="str">
        <f>'Customer Load Sheet'!H32</f>
        <v>Service Center</v>
      </c>
      <c r="D22" s="586" t="s">
        <v>40</v>
      </c>
      <c r="E22" s="587"/>
      <c r="F22" s="71" t="str">
        <f>'Customer Load Sheet'!F11</f>
        <v>Revenue Class</v>
      </c>
      <c r="G22" s="72">
        <f>'Customer Load Sheet'!G11</f>
        <v>421</v>
      </c>
      <c r="H22" s="72" t="str">
        <f>'Customer Load Sheet'!F12</f>
        <v>Customer Rate</v>
      </c>
      <c r="I22" s="71" t="str">
        <f>'Customer Load Sheet'!G12</f>
        <v>Rate 310 MGS Secondary</v>
      </c>
      <c r="J22" s="161" t="str">
        <f>'Customer Load Sheet'!H12</f>
        <v xml:space="preserve">     21-400 KW</v>
      </c>
    </row>
    <row r="23" spans="1:10" ht="19" thickBot="1" x14ac:dyDescent="0.3">
      <c r="A23" s="569"/>
      <c r="B23" s="61" t="s">
        <v>82</v>
      </c>
      <c r="C23" s="38" t="s">
        <v>83</v>
      </c>
      <c r="D23" s="67" t="s">
        <v>62</v>
      </c>
      <c r="E23" s="39" t="s">
        <v>84</v>
      </c>
      <c r="F23" s="75" t="s">
        <v>62</v>
      </c>
      <c r="G23" s="36" t="s">
        <v>85</v>
      </c>
      <c r="H23" s="77" t="s">
        <v>1</v>
      </c>
      <c r="I23" s="78" t="s">
        <v>86</v>
      </c>
      <c r="J23" s="70" t="str">
        <f>'Customer Load Sheet'!F31</f>
        <v>Self Contained</v>
      </c>
    </row>
    <row r="24" spans="1:10" ht="59.25" customHeight="1" thickBot="1" x14ac:dyDescent="0.3">
      <c r="A24" s="569"/>
      <c r="B24" s="61" t="s">
        <v>87</v>
      </c>
      <c r="C24" s="186" t="str">
        <f>C21</f>
        <v>Self Contained</v>
      </c>
      <c r="D24" s="552" t="s">
        <v>40</v>
      </c>
      <c r="E24" s="553"/>
      <c r="F24" s="71" t="str">
        <f>'Customer Load Sheet'!D34</f>
        <v>Other Comments on Metering (including # of End Users if applicable or Meter Location Adjustment)</v>
      </c>
      <c r="G24" s="583">
        <f>'Customer Load Sheet'!G34:H34</f>
        <v>0</v>
      </c>
      <c r="H24" s="584"/>
      <c r="I24" s="585"/>
      <c r="J24" s="76" t="s">
        <v>1</v>
      </c>
    </row>
    <row r="25" spans="1:10" ht="26" thickBot="1" x14ac:dyDescent="0.35">
      <c r="A25" s="569"/>
      <c r="B25" s="62" t="s">
        <v>146</v>
      </c>
      <c r="C25" s="87">
        <f>ESA!P39</f>
        <v>0</v>
      </c>
      <c r="D25" s="566" t="s">
        <v>288</v>
      </c>
      <c r="E25" s="566"/>
      <c r="F25" s="567"/>
      <c r="G25" s="567"/>
      <c r="H25" s="567"/>
      <c r="I25" s="567"/>
      <c r="J25" s="568"/>
    </row>
    <row r="27" spans="1:10" ht="13" x14ac:dyDescent="0.3">
      <c r="A27" s="1" t="s">
        <v>36</v>
      </c>
      <c r="B27" s="1" t="s">
        <v>155</v>
      </c>
      <c r="C27" s="50" t="s">
        <v>153</v>
      </c>
      <c r="D27" s="50" t="s">
        <v>154</v>
      </c>
      <c r="E27" s="50" t="s">
        <v>154</v>
      </c>
      <c r="F27" s="4"/>
      <c r="G27" s="4"/>
      <c r="H27" s="4"/>
      <c r="I27" s="4"/>
    </row>
    <row r="28" spans="1:10" ht="26.5" thickBot="1" x14ac:dyDescent="0.35">
      <c r="A28" s="6" t="s">
        <v>1</v>
      </c>
      <c r="B28" s="7" t="str">
        <f>'Customer Load Sheet'!B37</f>
        <v>Enter Load Type-Use drop down in each cell</v>
      </c>
      <c r="C28" s="49" t="s">
        <v>137</v>
      </c>
      <c r="D28" s="21" t="str">
        <f>ESA!M2</f>
        <v>KW New Diversified</v>
      </c>
      <c r="E28" s="21" t="str">
        <f>ESA!N2</f>
        <v>KVA Diversified NEW</v>
      </c>
      <c r="H28" t="s">
        <v>1</v>
      </c>
    </row>
    <row r="29" spans="1:10" ht="12.75" customHeight="1" x14ac:dyDescent="0.25">
      <c r="A29" s="557" t="str">
        <f>'Customer Load Sheet'!A38</f>
        <v>Commercial Loads</v>
      </c>
      <c r="B29" s="307" t="str">
        <f>'Customer Load Sheet'!B38</f>
        <v xml:space="preserve">A/C </v>
      </c>
      <c r="C29" s="217">
        <f>'Customer Load Sheet'!C38</f>
        <v>0</v>
      </c>
      <c r="D29" s="217">
        <f>ESA!M4</f>
        <v>0</v>
      </c>
      <c r="E29" s="217">
        <f>ESA!N4</f>
        <v>0</v>
      </c>
    </row>
    <row r="30" spans="1:10" x14ac:dyDescent="0.25">
      <c r="A30" s="558"/>
      <c r="B30" s="307" t="str">
        <f>'Customer Load Sheet'!B39</f>
        <v>Laundry</v>
      </c>
      <c r="C30" s="217">
        <f>'Customer Load Sheet'!C39</f>
        <v>0</v>
      </c>
      <c r="D30" s="217">
        <f>ESA!M5</f>
        <v>0</v>
      </c>
      <c r="E30" s="217">
        <f>ESA!N5</f>
        <v>0</v>
      </c>
    </row>
    <row r="31" spans="1:10" x14ac:dyDescent="0.25">
      <c r="A31" s="558"/>
      <c r="B31" s="307" t="str">
        <f>'Customer Load Sheet'!B40</f>
        <v>Lighting</v>
      </c>
      <c r="C31" s="217">
        <f>'Customer Load Sheet'!C40</f>
        <v>0</v>
      </c>
      <c r="D31" s="217">
        <f>ESA!M6</f>
        <v>0</v>
      </c>
      <c r="E31" s="217">
        <f>ESA!N6</f>
        <v>0</v>
      </c>
    </row>
    <row r="32" spans="1:10" x14ac:dyDescent="0.25">
      <c r="A32" s="558"/>
      <c r="B32" s="307" t="str">
        <f>'Customer Load Sheet'!B41</f>
        <v>Receptacles</v>
      </c>
      <c r="C32" s="217">
        <f>'Customer Load Sheet'!C41</f>
        <v>0</v>
      </c>
      <c r="D32" s="217">
        <f>ESA!M7</f>
        <v>0</v>
      </c>
      <c r="E32" s="217">
        <f>ESA!N7</f>
        <v>0</v>
      </c>
    </row>
    <row r="33" spans="1:14" ht="12.75" customHeight="1" x14ac:dyDescent="0.25">
      <c r="A33" s="558"/>
      <c r="B33" s="307" t="str">
        <f>'Customer Load Sheet'!B42</f>
        <v>Heating including Heat Pumps</v>
      </c>
      <c r="C33" s="217">
        <f>'Customer Load Sheet'!C42</f>
        <v>0</v>
      </c>
      <c r="D33" s="217">
        <f>ESA!M8</f>
        <v>0</v>
      </c>
      <c r="E33" s="217">
        <f>ESA!N8</f>
        <v>0</v>
      </c>
    </row>
    <row r="34" spans="1:14" x14ac:dyDescent="0.25">
      <c r="A34" s="558"/>
      <c r="B34" s="307" t="str">
        <f>'Customer Load Sheet'!B43</f>
        <v>Cooking Loads</v>
      </c>
      <c r="C34" s="217">
        <f>'Customer Load Sheet'!C43</f>
        <v>0</v>
      </c>
      <c r="D34" s="217">
        <f>ESA!M9</f>
        <v>0</v>
      </c>
      <c r="E34" s="217">
        <f>ESA!N9</f>
        <v>0</v>
      </c>
    </row>
    <row r="35" spans="1:14" x14ac:dyDescent="0.25">
      <c r="A35" s="558"/>
      <c r="B35" s="307" t="str">
        <f>'Customer Load Sheet'!B44</f>
        <v>Motor Loads General Purpose</v>
      </c>
      <c r="C35" s="217">
        <f>'Customer Load Sheet'!C44</f>
        <v>0</v>
      </c>
      <c r="D35" s="217">
        <f>ESA!M10</f>
        <v>0</v>
      </c>
      <c r="E35" s="217">
        <f>ESA!N10</f>
        <v>0</v>
      </c>
    </row>
    <row r="36" spans="1:14" x14ac:dyDescent="0.25">
      <c r="A36" s="558"/>
      <c r="B36" s="307" t="str">
        <f>'Customer Load Sheet'!B45</f>
        <v>Receptacles</v>
      </c>
      <c r="C36" s="217">
        <f>'Customer Load Sheet'!C45</f>
        <v>0</v>
      </c>
      <c r="D36" s="217">
        <f>ESA!M11</f>
        <v>0</v>
      </c>
      <c r="E36" s="217">
        <f>ESA!N11</f>
        <v>0</v>
      </c>
    </row>
    <row r="37" spans="1:14" x14ac:dyDescent="0.25">
      <c r="A37" s="558"/>
      <c r="B37" s="307" t="str">
        <f>'Customer Load Sheet'!B46</f>
        <v>Future Loads</v>
      </c>
      <c r="C37" s="217">
        <f>'Customer Load Sheet'!C46</f>
        <v>0</v>
      </c>
      <c r="D37" s="217">
        <f>ESA!M12</f>
        <v>0</v>
      </c>
      <c r="E37" s="217">
        <f>ESA!N12</f>
        <v>0</v>
      </c>
    </row>
    <row r="38" spans="1:14" ht="12.75" customHeight="1" x14ac:dyDescent="0.25">
      <c r="A38" s="558"/>
      <c r="B38" s="307" t="str">
        <f>'Customer Load Sheet'!B47</f>
        <v>Laundry</v>
      </c>
      <c r="C38" s="217">
        <f>'Customer Load Sheet'!C47</f>
        <v>0</v>
      </c>
      <c r="D38" s="217">
        <f>ESA!M13</f>
        <v>0</v>
      </c>
      <c r="E38" s="217">
        <f>ESA!N13</f>
        <v>0</v>
      </c>
    </row>
    <row r="39" spans="1:14" x14ac:dyDescent="0.25">
      <c r="A39" s="558"/>
      <c r="B39" s="307" t="str">
        <f>'Customer Load Sheet'!B48</f>
        <v>Lighting</v>
      </c>
      <c r="C39" s="217">
        <f>'Customer Load Sheet'!C48</f>
        <v>0</v>
      </c>
      <c r="D39" s="217">
        <f>ESA!M14</f>
        <v>0</v>
      </c>
      <c r="E39" s="217">
        <f>ESA!N14</f>
        <v>0</v>
      </c>
    </row>
    <row r="40" spans="1:14" x14ac:dyDescent="0.25">
      <c r="A40" s="558"/>
      <c r="B40" s="307" t="str">
        <f>'Customer Load Sheet'!B49</f>
        <v>Receptacles</v>
      </c>
      <c r="C40" s="217">
        <f>'Customer Load Sheet'!C49</f>
        <v>0</v>
      </c>
      <c r="D40" s="217">
        <f>ESA!M15</f>
        <v>0</v>
      </c>
      <c r="E40" s="217">
        <f>ESA!N15</f>
        <v>0</v>
      </c>
    </row>
    <row r="41" spans="1:14" x14ac:dyDescent="0.25">
      <c r="A41" s="558"/>
      <c r="B41" s="307" t="str">
        <f>'Customer Load Sheet'!B50</f>
        <v>Laundry</v>
      </c>
      <c r="C41" s="217">
        <f>'Customer Load Sheet'!C50</f>
        <v>0</v>
      </c>
      <c r="D41" s="217">
        <f>ESA!M16</f>
        <v>0</v>
      </c>
      <c r="E41" s="217">
        <f>ESA!N16</f>
        <v>0</v>
      </c>
    </row>
    <row r="42" spans="1:14" x14ac:dyDescent="0.25">
      <c r="A42" s="558"/>
      <c r="B42" s="307" t="str">
        <f>'Customer Load Sheet'!B51</f>
        <v>Car Charging</v>
      </c>
      <c r="C42" s="217">
        <f>'Customer Load Sheet'!C51</f>
        <v>0</v>
      </c>
      <c r="D42" s="217">
        <f>ESA!M17</f>
        <v>0</v>
      </c>
      <c r="E42" s="217">
        <f>ESA!N17</f>
        <v>0</v>
      </c>
    </row>
    <row r="43" spans="1:14" x14ac:dyDescent="0.25">
      <c r="A43" s="558"/>
      <c r="B43" s="307" t="str">
        <f>'Customer Load Sheet'!B52</f>
        <v>Motor Loads General Purpose</v>
      </c>
      <c r="C43" s="217">
        <f>'Customer Load Sheet'!C52</f>
        <v>0</v>
      </c>
      <c r="D43" s="217">
        <f>ESA!M18</f>
        <v>0</v>
      </c>
      <c r="E43" s="217">
        <f>ESA!N18</f>
        <v>0</v>
      </c>
    </row>
    <row r="44" spans="1:14" x14ac:dyDescent="0.25">
      <c r="A44" s="558"/>
      <c r="B44" s="307" t="str">
        <f>'Customer Load Sheet'!B53</f>
        <v>Receptacles</v>
      </c>
      <c r="C44" s="217">
        <f>'Customer Load Sheet'!C53</f>
        <v>0</v>
      </c>
      <c r="D44" s="217">
        <f>ESA!M19</f>
        <v>0</v>
      </c>
      <c r="E44" s="217">
        <f>ESA!N19</f>
        <v>0</v>
      </c>
    </row>
    <row r="45" spans="1:14" ht="13.5" thickBot="1" x14ac:dyDescent="0.35">
      <c r="A45" s="559"/>
      <c r="B45" s="308" t="str">
        <f>'Customer Load Sheet'!B54</f>
        <v>Total Commercial and  Common</v>
      </c>
      <c r="C45" s="309">
        <f>'Customer Load Sheet'!C54</f>
        <v>0</v>
      </c>
      <c r="D45" s="309">
        <f>ESA!M20</f>
        <v>0</v>
      </c>
      <c r="E45" s="309">
        <f>ESA!N20</f>
        <v>0</v>
      </c>
    </row>
    <row r="46" spans="1:14" x14ac:dyDescent="0.25">
      <c r="A46" s="554" t="str">
        <f>'Customer Load Sheet'!A57</f>
        <v>Residential Loads</v>
      </c>
      <c r="B46" s="55" t="str">
        <f>'Customer Load Sheet'!B57</f>
        <v>Laundry</v>
      </c>
      <c r="C46" s="217">
        <f>'Customer Load Sheet'!C57</f>
        <v>0</v>
      </c>
      <c r="D46" s="217">
        <f>ESA!M22</f>
        <v>0</v>
      </c>
      <c r="E46" s="217">
        <f>ESA!N22</f>
        <v>0</v>
      </c>
    </row>
    <row r="47" spans="1:14" x14ac:dyDescent="0.25">
      <c r="A47" s="555">
        <f>'Customer Load Sheet'!A39</f>
        <v>0</v>
      </c>
      <c r="B47" s="55" t="str">
        <f>'Customer Load Sheet'!B58</f>
        <v>Motor Loads Semi Continuous</v>
      </c>
      <c r="C47" s="217">
        <f>'Customer Load Sheet'!C58</f>
        <v>0</v>
      </c>
      <c r="D47" s="217">
        <f>ESA!M23</f>
        <v>0</v>
      </c>
      <c r="E47" s="217">
        <f>ESA!N23</f>
        <v>0</v>
      </c>
    </row>
    <row r="48" spans="1:14" x14ac:dyDescent="0.25">
      <c r="A48" s="555">
        <f>'Customer Load Sheet'!A40</f>
        <v>0</v>
      </c>
      <c r="B48" s="55" t="str">
        <f>'Customer Load Sheet'!B59</f>
        <v>Motor Loads Semi Continuous</v>
      </c>
      <c r="C48" s="217">
        <f>'Customer Load Sheet'!C59</f>
        <v>0</v>
      </c>
      <c r="D48" s="217">
        <f>ESA!M24</f>
        <v>0</v>
      </c>
      <c r="E48" s="217">
        <f>ESA!N24</f>
        <v>0</v>
      </c>
      <c r="N48" t="s">
        <v>1</v>
      </c>
    </row>
    <row r="49" spans="1:12" x14ac:dyDescent="0.25">
      <c r="A49" s="555">
        <f>'Customer Load Sheet'!A41</f>
        <v>0</v>
      </c>
      <c r="B49" s="55" t="str">
        <f>'Customer Load Sheet'!B60</f>
        <v>Cooking Loads</v>
      </c>
      <c r="C49" s="217">
        <f>'Customer Load Sheet'!C60</f>
        <v>0</v>
      </c>
      <c r="D49" s="217">
        <f>ESA!M25</f>
        <v>0</v>
      </c>
      <c r="E49" s="217">
        <f>ESA!N25</f>
        <v>0</v>
      </c>
    </row>
    <row r="50" spans="1:12" x14ac:dyDescent="0.25">
      <c r="A50" s="555">
        <f>'Customer Load Sheet'!A42</f>
        <v>0</v>
      </c>
      <c r="B50" s="55" t="str">
        <f>'Customer Load Sheet'!B61</f>
        <v>Cooking Loads</v>
      </c>
      <c r="C50" s="217">
        <f>'Customer Load Sheet'!C61</f>
        <v>0</v>
      </c>
      <c r="D50" s="217">
        <f>ESA!M26</f>
        <v>0</v>
      </c>
      <c r="E50" s="217">
        <f>ESA!N26</f>
        <v>0</v>
      </c>
    </row>
    <row r="51" spans="1:12" ht="12.75" customHeight="1" x14ac:dyDescent="0.25">
      <c r="A51" s="555">
        <f>'Customer Load Sheet'!A43</f>
        <v>0</v>
      </c>
      <c r="B51" s="55" t="str">
        <f>'Customer Load Sheet'!B62</f>
        <v>Lighting</v>
      </c>
      <c r="C51" s="217">
        <f>'Customer Load Sheet'!C62</f>
        <v>0</v>
      </c>
      <c r="D51" s="217">
        <f>ESA!M27</f>
        <v>0</v>
      </c>
      <c r="E51" s="217">
        <f>ESA!N27</f>
        <v>0</v>
      </c>
    </row>
    <row r="52" spans="1:12" x14ac:dyDescent="0.25">
      <c r="A52" s="555">
        <f>'Customer Load Sheet'!A44</f>
        <v>0</v>
      </c>
      <c r="B52" s="55" t="str">
        <f>'Customer Load Sheet'!B63</f>
        <v>Laundry</v>
      </c>
      <c r="C52" s="217">
        <f>'Customer Load Sheet'!C63</f>
        <v>0</v>
      </c>
      <c r="D52" s="217">
        <f>ESA!M28</f>
        <v>0</v>
      </c>
      <c r="E52" s="217">
        <f>ESA!N28</f>
        <v>0</v>
      </c>
    </row>
    <row r="53" spans="1:12" x14ac:dyDescent="0.25">
      <c r="A53" s="555">
        <f>'Customer Load Sheet'!A45</f>
        <v>0</v>
      </c>
      <c r="B53" s="55" t="str">
        <f>'Customer Load Sheet'!B64</f>
        <v>Motor Loads Semi Continuous</v>
      </c>
      <c r="C53" s="217">
        <f>'Customer Load Sheet'!C64</f>
        <v>0</v>
      </c>
      <c r="D53" s="217">
        <f>ESA!M29</f>
        <v>0</v>
      </c>
      <c r="E53" s="217">
        <f>ESA!N29</f>
        <v>0</v>
      </c>
    </row>
    <row r="54" spans="1:12" ht="13" x14ac:dyDescent="0.3">
      <c r="A54" s="555">
        <f>'Customer Load Sheet'!A46</f>
        <v>0</v>
      </c>
      <c r="B54" s="52" t="str">
        <f>'Customer Load Sheet'!B65</f>
        <v>Subtotal Apartments-Non Heat</v>
      </c>
      <c r="C54" s="309">
        <f>'Customer Load Sheet'!C65</f>
        <v>0</v>
      </c>
      <c r="D54" s="309">
        <f>ESA!M30</f>
        <v>0</v>
      </c>
      <c r="E54" s="309">
        <f>ESA!N30</f>
        <v>0</v>
      </c>
    </row>
    <row r="55" spans="1:12" x14ac:dyDescent="0.25">
      <c r="A55" s="555">
        <f>'Customer Load Sheet'!A47</f>
        <v>0</v>
      </c>
      <c r="B55" s="55" t="str">
        <f>'Customer Load Sheet'!B66</f>
        <v xml:space="preserve">A/C </v>
      </c>
      <c r="C55" s="216">
        <f>'Customer Load Sheet'!C66</f>
        <v>0</v>
      </c>
      <c r="D55" s="217">
        <f>ESA!M31</f>
        <v>0</v>
      </c>
      <c r="E55" s="217">
        <f>ESA!N31</f>
        <v>0</v>
      </c>
    </row>
    <row r="56" spans="1:12" x14ac:dyDescent="0.25">
      <c r="A56" s="555">
        <f>'Customer Load Sheet'!A48</f>
        <v>0</v>
      </c>
      <c r="B56" s="55" t="str">
        <f>'Customer Load Sheet'!B67</f>
        <v>Heating including Heat Pumps</v>
      </c>
      <c r="C56" s="216">
        <f>'Customer Load Sheet'!C67</f>
        <v>0</v>
      </c>
      <c r="D56" s="217">
        <f>ESA!M32</f>
        <v>0</v>
      </c>
      <c r="E56" s="217">
        <f>ESA!N32</f>
        <v>0</v>
      </c>
    </row>
    <row r="57" spans="1:12" ht="30" customHeight="1" thickBot="1" x14ac:dyDescent="0.35">
      <c r="A57" s="556">
        <f>'Customer Load Sheet'!A49</f>
        <v>0</v>
      </c>
      <c r="B57" s="52" t="str">
        <f>'Customer Load Sheet'!B68</f>
        <v>Subtotal Apartments-Heat and A/C</v>
      </c>
      <c r="C57" s="310">
        <f>'Customer Load Sheet'!C68</f>
        <v>0</v>
      </c>
      <c r="D57" s="310">
        <f>ESA!M33</f>
        <v>0</v>
      </c>
      <c r="E57" s="310">
        <f>ESA!N33</f>
        <v>0</v>
      </c>
    </row>
    <row r="58" spans="1:12" ht="18.75" customHeight="1" x14ac:dyDescent="0.3">
      <c r="A58" s="2"/>
      <c r="B58" s="52" t="str">
        <f>'Customer Load Sheet'!B69</f>
        <v>Total Residential Loads</v>
      </c>
      <c r="C58" s="51">
        <f>'Customer Load Sheet'!C69</f>
        <v>0</v>
      </c>
      <c r="D58" s="51">
        <f>ESA!M20</f>
        <v>0</v>
      </c>
      <c r="E58" s="51">
        <f>ESA!N20</f>
        <v>0</v>
      </c>
    </row>
    <row r="59" spans="1:12" ht="13" x14ac:dyDescent="0.3">
      <c r="A59" s="2"/>
      <c r="B59" s="311" t="str">
        <f>'Customer Load Sheet'!B70</f>
        <v>Total New Connected Load</v>
      </c>
      <c r="C59" s="51">
        <f>'Customer Load Sheet'!C70</f>
        <v>0</v>
      </c>
      <c r="D59" s="51">
        <f>ESA!M37</f>
        <v>0</v>
      </c>
      <c r="E59" s="53">
        <f>ESA!N37</f>
        <v>0</v>
      </c>
      <c r="G59" s="4"/>
    </row>
    <row r="60" spans="1:12" ht="13" x14ac:dyDescent="0.3">
      <c r="A60" s="1"/>
      <c r="J60" s="4"/>
    </row>
    <row r="61" spans="1:12" ht="13" x14ac:dyDescent="0.3">
      <c r="A61" s="1"/>
      <c r="C61" s="7"/>
      <c r="J61" s="4"/>
    </row>
    <row r="62" spans="1:12" ht="33.75" customHeight="1" x14ac:dyDescent="0.3">
      <c r="A62" s="1"/>
      <c r="B62" s="551" t="s">
        <v>156</v>
      </c>
      <c r="C62" s="551"/>
      <c r="D62" s="551"/>
      <c r="E62" s="54">
        <f>ESA!N38</f>
        <v>0</v>
      </c>
      <c r="F62" s="1" t="s">
        <v>141</v>
      </c>
      <c r="G62" s="550" t="s">
        <v>573</v>
      </c>
      <c r="H62" s="550"/>
      <c r="I62" s="423" t="str">
        <f>'Customer Load Sheet'!D25</f>
        <v>3Ph. 120/208v</v>
      </c>
      <c r="J62" s="4"/>
      <c r="L62" t="s">
        <v>1</v>
      </c>
    </row>
    <row r="63" spans="1:12" ht="33.75" customHeight="1" x14ac:dyDescent="0.3">
      <c r="A63" s="1"/>
      <c r="B63" s="551" t="s">
        <v>157</v>
      </c>
      <c r="C63" s="551"/>
      <c r="D63" s="551"/>
      <c r="E63" s="54">
        <f>ESA!M40</f>
        <v>0</v>
      </c>
      <c r="F63" s="1" t="s">
        <v>141</v>
      </c>
    </row>
    <row r="64" spans="1:12" ht="27" customHeight="1" x14ac:dyDescent="0.35">
      <c r="A64" s="1"/>
      <c r="B64" s="551" t="s">
        <v>158</v>
      </c>
      <c r="C64" s="551"/>
      <c r="D64" s="551"/>
      <c r="E64" s="112">
        <f>ESA!N41</f>
        <v>0</v>
      </c>
      <c r="F64" s="1" t="s">
        <v>141</v>
      </c>
    </row>
    <row r="65" spans="1:92" ht="20.5" customHeight="1" x14ac:dyDescent="0.3">
      <c r="A65" s="1"/>
      <c r="B65" s="100"/>
      <c r="C65" s="100"/>
      <c r="D65" s="100"/>
      <c r="E65" s="1"/>
      <c r="F65" s="1"/>
    </row>
    <row r="66" spans="1:92" ht="51.75" customHeight="1" x14ac:dyDescent="0.3">
      <c r="A66" s="1"/>
      <c r="B66" s="100"/>
      <c r="C66" s="104" t="s">
        <v>324</v>
      </c>
      <c r="D66" s="54" t="s">
        <v>141</v>
      </c>
      <c r="E66" s="105" t="s">
        <v>620</v>
      </c>
      <c r="F66" s="106" t="s">
        <v>619</v>
      </c>
      <c r="G66" s="105" t="s">
        <v>230</v>
      </c>
      <c r="H66" s="105" t="s">
        <v>326</v>
      </c>
    </row>
    <row r="67" spans="1:92" ht="36" customHeight="1" x14ac:dyDescent="0.3">
      <c r="A67" s="1"/>
      <c r="B67" s="103" t="s">
        <v>309</v>
      </c>
      <c r="C67" s="98">
        <v>1</v>
      </c>
      <c r="D67" s="66">
        <f>C14</f>
        <v>150</v>
      </c>
      <c r="E67" s="94" t="s">
        <v>186</v>
      </c>
      <c r="F67" s="110" t="str">
        <f>VLOOKUP(E67,A105:C182,3)</f>
        <v xml:space="preserve">D866043E </v>
      </c>
      <c r="G67" s="110" t="str">
        <f>VLOOKUP(E67,A105:C182,2)</f>
        <v>U3TD3GFAPFE</v>
      </c>
      <c r="H67" s="111" t="s">
        <v>284</v>
      </c>
    </row>
    <row r="68" spans="1:92" ht="56.25" customHeight="1" x14ac:dyDescent="0.3">
      <c r="A68" s="91"/>
    </row>
    <row r="69" spans="1:92" ht="13" x14ac:dyDescent="0.3">
      <c r="A69" s="91"/>
    </row>
    <row r="70" spans="1:92" ht="13" x14ac:dyDescent="0.3">
      <c r="A70" s="91" t="s">
        <v>295</v>
      </c>
    </row>
    <row r="71" spans="1:92" ht="13" x14ac:dyDescent="0.3">
      <c r="A71" s="91" t="s">
        <v>494</v>
      </c>
    </row>
    <row r="72" spans="1:92" ht="13" x14ac:dyDescent="0.3">
      <c r="A72" s="91" t="s">
        <v>448</v>
      </c>
    </row>
    <row r="73" spans="1:92" ht="13" x14ac:dyDescent="0.3">
      <c r="A73" s="91"/>
    </row>
    <row r="74" spans="1:92" ht="13" x14ac:dyDescent="0.3">
      <c r="A74" s="91"/>
    </row>
    <row r="75" spans="1:92" ht="13" x14ac:dyDescent="0.3">
      <c r="A75" s="91"/>
    </row>
    <row r="76" spans="1:92" ht="13" x14ac:dyDescent="0.3">
      <c r="A76" s="91"/>
    </row>
    <row r="77" spans="1:92" s="108" customFormat="1" ht="13" x14ac:dyDescent="0.3">
      <c r="A77" s="107"/>
      <c r="B77" s="109"/>
      <c r="C77" s="109"/>
    </row>
    <row r="78" spans="1:92" s="113" customFormat="1" ht="13" x14ac:dyDescent="0.3">
      <c r="A78" s="91" t="str">
        <f>CONCATENATE(A79,D67)</f>
        <v>xfmr150</v>
      </c>
      <c r="B78" s="91" t="s">
        <v>626</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c r="CI78" s="91"/>
      <c r="CJ78" s="91"/>
      <c r="CK78" s="91"/>
      <c r="CL78" s="91"/>
      <c r="CM78" s="91"/>
      <c r="CN78" s="91"/>
    </row>
    <row r="79" spans="1:92" s="113" customFormat="1" ht="13" x14ac:dyDescent="0.3">
      <c r="A79" s="91" t="s">
        <v>263</v>
      </c>
      <c r="B79" s="91" t="s">
        <v>264</v>
      </c>
      <c r="C79" s="91"/>
      <c r="D79" s="91" t="s">
        <v>449</v>
      </c>
      <c r="E79" s="91" t="s">
        <v>262</v>
      </c>
      <c r="F79" s="91"/>
      <c r="G79" s="91" t="s">
        <v>449</v>
      </c>
      <c r="H79" s="91" t="s">
        <v>265</v>
      </c>
      <c r="I79" s="91"/>
      <c r="J79" s="91" t="s">
        <v>449</v>
      </c>
      <c r="K79" s="91" t="s">
        <v>266</v>
      </c>
      <c r="L79" s="91"/>
      <c r="M79" s="91" t="s">
        <v>449</v>
      </c>
      <c r="N79" s="91" t="s">
        <v>267</v>
      </c>
      <c r="O79" s="91"/>
      <c r="P79" s="91" t="s">
        <v>449</v>
      </c>
      <c r="Q79" s="91" t="s">
        <v>268</v>
      </c>
      <c r="R79" s="91"/>
      <c r="S79" s="91" t="s">
        <v>449</v>
      </c>
      <c r="T79" s="91" t="s">
        <v>269</v>
      </c>
      <c r="U79" s="91"/>
      <c r="V79" s="91" t="s">
        <v>449</v>
      </c>
      <c r="W79" s="91" t="s">
        <v>270</v>
      </c>
      <c r="X79" s="91"/>
      <c r="Y79" s="91" t="s">
        <v>449</v>
      </c>
      <c r="Z79" s="91" t="s">
        <v>271</v>
      </c>
      <c r="AA79" s="91"/>
      <c r="AB79" s="91" t="s">
        <v>449</v>
      </c>
      <c r="AC79" s="91" t="s">
        <v>272</v>
      </c>
      <c r="AD79" s="91"/>
      <c r="AE79" s="91" t="s">
        <v>449</v>
      </c>
      <c r="AF79" s="91" t="s">
        <v>296</v>
      </c>
      <c r="AG79" s="91"/>
      <c r="AH79" s="91" t="s">
        <v>449</v>
      </c>
      <c r="AI79" s="91" t="s">
        <v>273</v>
      </c>
      <c r="AJ79" s="91"/>
      <c r="AK79" s="91" t="s">
        <v>449</v>
      </c>
      <c r="AL79" s="91" t="s">
        <v>274</v>
      </c>
      <c r="AM79" s="91"/>
      <c r="AN79" s="91" t="s">
        <v>449</v>
      </c>
      <c r="AO79" s="91" t="s">
        <v>275</v>
      </c>
      <c r="AP79" s="91"/>
      <c r="AQ79" s="91" t="s">
        <v>449</v>
      </c>
      <c r="AR79" s="91" t="s">
        <v>276</v>
      </c>
      <c r="AS79" s="91"/>
      <c r="AT79" s="91" t="s">
        <v>449</v>
      </c>
      <c r="AU79" s="91" t="s">
        <v>277</v>
      </c>
      <c r="AV79" s="91"/>
      <c r="AW79" s="91" t="s">
        <v>449</v>
      </c>
      <c r="AX79" s="91" t="s">
        <v>278</v>
      </c>
      <c r="AY79" s="91"/>
      <c r="AZ79" s="91" t="s">
        <v>449</v>
      </c>
      <c r="BA79" s="442"/>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c r="CI79" s="91"/>
      <c r="CJ79" s="91"/>
      <c r="CK79" s="91"/>
    </row>
    <row r="80" spans="1:92" s="113" customFormat="1" ht="13" x14ac:dyDescent="0.3">
      <c r="A80" s="91">
        <v>10</v>
      </c>
      <c r="B80" s="91" t="s">
        <v>365</v>
      </c>
      <c r="C80" s="91" t="s">
        <v>366</v>
      </c>
      <c r="D80" s="91" t="s">
        <v>367</v>
      </c>
      <c r="E80" s="91" t="s">
        <v>339</v>
      </c>
      <c r="F80" s="91" t="s">
        <v>369</v>
      </c>
      <c r="G80" s="91" t="s">
        <v>173</v>
      </c>
      <c r="H80" s="91" t="s">
        <v>340</v>
      </c>
      <c r="I80" s="91" t="s">
        <v>373</v>
      </c>
      <c r="J80" s="91" t="s">
        <v>178</v>
      </c>
      <c r="K80" s="91" t="s">
        <v>279</v>
      </c>
      <c r="L80" s="91" t="s">
        <v>279</v>
      </c>
      <c r="M80" s="91" t="s">
        <v>279</v>
      </c>
      <c r="N80" s="91" t="s">
        <v>328</v>
      </c>
      <c r="O80" s="91" t="s">
        <v>381</v>
      </c>
      <c r="P80" s="91" t="s">
        <v>183</v>
      </c>
      <c r="Q80" s="91" t="s">
        <v>279</v>
      </c>
      <c r="R80" s="91" t="s">
        <v>279</v>
      </c>
      <c r="S80" s="91" t="s">
        <v>279</v>
      </c>
      <c r="T80" s="91" t="s">
        <v>329</v>
      </c>
      <c r="U80" s="91" t="s">
        <v>185</v>
      </c>
      <c r="V80" s="91" t="s">
        <v>186</v>
      </c>
      <c r="W80" s="91" t="s">
        <v>330</v>
      </c>
      <c r="X80" s="91" t="s">
        <v>388</v>
      </c>
      <c r="Y80" s="91" t="s">
        <v>190</v>
      </c>
      <c r="Z80" s="91" t="s">
        <v>331</v>
      </c>
      <c r="AA80" s="91" t="s">
        <v>191</v>
      </c>
      <c r="AB80" s="91" t="s">
        <v>192</v>
      </c>
      <c r="AC80" s="91" t="s">
        <v>402</v>
      </c>
      <c r="AD80" s="91" t="s">
        <v>403</v>
      </c>
      <c r="AE80" s="91" t="s">
        <v>404</v>
      </c>
      <c r="AF80" s="91" t="s">
        <v>414</v>
      </c>
      <c r="AG80" s="91" t="s">
        <v>415</v>
      </c>
      <c r="AH80" s="91" t="s">
        <v>416</v>
      </c>
      <c r="AI80" s="91" t="s">
        <v>426</v>
      </c>
      <c r="AJ80" s="91" t="s">
        <v>427</v>
      </c>
      <c r="AK80" s="91" t="s">
        <v>428</v>
      </c>
      <c r="AL80" s="91" t="s">
        <v>438</v>
      </c>
      <c r="AM80" s="91" t="s">
        <v>439</v>
      </c>
      <c r="AN80" s="91" t="s">
        <v>440</v>
      </c>
      <c r="AO80" s="91" t="s">
        <v>335</v>
      </c>
      <c r="AP80" s="91" t="s">
        <v>213</v>
      </c>
      <c r="AQ80" s="91" t="s">
        <v>214</v>
      </c>
      <c r="AR80" s="91" t="s">
        <v>441</v>
      </c>
      <c r="AS80" s="91" t="s">
        <v>442</v>
      </c>
      <c r="AT80" s="91" t="s">
        <v>443</v>
      </c>
      <c r="AU80" s="91" t="s">
        <v>444</v>
      </c>
      <c r="AV80" s="91" t="s">
        <v>445</v>
      </c>
      <c r="AW80" s="91" t="s">
        <v>446</v>
      </c>
      <c r="AX80" s="91" t="s">
        <v>338</v>
      </c>
      <c r="AY80" s="91" t="s">
        <v>447</v>
      </c>
      <c r="AZ80" s="91" t="s">
        <v>222</v>
      </c>
      <c r="BA80" s="442"/>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row>
    <row r="81" spans="1:92" s="113" customFormat="1" ht="13" x14ac:dyDescent="0.3">
      <c r="A81" s="91">
        <v>25</v>
      </c>
      <c r="B81" s="91" t="s">
        <v>362</v>
      </c>
      <c r="C81" s="91" t="s">
        <v>368</v>
      </c>
      <c r="D81" s="91" t="s">
        <v>172</v>
      </c>
      <c r="E81" s="440" t="s">
        <v>351</v>
      </c>
      <c r="F81" s="440" t="s">
        <v>370</v>
      </c>
      <c r="G81" s="440" t="s">
        <v>175</v>
      </c>
      <c r="H81" s="91" t="s">
        <v>374</v>
      </c>
      <c r="I81" s="91" t="s">
        <v>375</v>
      </c>
      <c r="J81" s="91" t="s">
        <v>376</v>
      </c>
      <c r="K81" s="91"/>
      <c r="L81" s="91"/>
      <c r="M81" s="91"/>
      <c r="N81" s="91" t="s">
        <v>382</v>
      </c>
      <c r="O81" s="91" t="s">
        <v>383</v>
      </c>
      <c r="P81" s="91" t="s">
        <v>384</v>
      </c>
      <c r="Q81" s="91"/>
      <c r="R81" s="91"/>
      <c r="S81" s="91"/>
      <c r="T81" s="91" t="s">
        <v>353</v>
      </c>
      <c r="U81" s="91" t="s">
        <v>188</v>
      </c>
      <c r="V81" s="91" t="s">
        <v>189</v>
      </c>
      <c r="W81" s="91" t="s">
        <v>389</v>
      </c>
      <c r="X81" s="91" t="s">
        <v>390</v>
      </c>
      <c r="Y81" s="91" t="s">
        <v>391</v>
      </c>
      <c r="Z81" s="91" t="s">
        <v>345</v>
      </c>
      <c r="AA81" s="91" t="s">
        <v>193</v>
      </c>
      <c r="AB81" s="91" t="s">
        <v>194</v>
      </c>
      <c r="AC81" s="91" t="s">
        <v>355</v>
      </c>
      <c r="AD81" s="91" t="s">
        <v>197</v>
      </c>
      <c r="AE81" s="91" t="s">
        <v>198</v>
      </c>
      <c r="AF81" s="91" t="s">
        <v>417</v>
      </c>
      <c r="AG81" s="91" t="s">
        <v>418</v>
      </c>
      <c r="AH81" s="91" t="s">
        <v>419</v>
      </c>
      <c r="AI81" s="91" t="s">
        <v>333</v>
      </c>
      <c r="AJ81" s="91" t="s">
        <v>205</v>
      </c>
      <c r="AK81" s="91" t="s">
        <v>206</v>
      </c>
      <c r="AL81" s="91" t="s">
        <v>334</v>
      </c>
      <c r="AM81" s="91" t="s">
        <v>209</v>
      </c>
      <c r="AN81" s="91" t="s">
        <v>210</v>
      </c>
      <c r="AO81" s="91" t="s">
        <v>349</v>
      </c>
      <c r="AP81" s="91" t="s">
        <v>215</v>
      </c>
      <c r="AQ81" s="91" t="s">
        <v>216</v>
      </c>
      <c r="AR81" s="91" t="s">
        <v>350</v>
      </c>
      <c r="AS81" s="91" t="s">
        <v>219</v>
      </c>
      <c r="AT81" s="91" t="s">
        <v>220</v>
      </c>
      <c r="AU81" s="91" t="s">
        <v>279</v>
      </c>
      <c r="AV81" s="91" t="s">
        <v>279</v>
      </c>
      <c r="AW81" s="91" t="s">
        <v>279</v>
      </c>
      <c r="AX81" s="91" t="s">
        <v>279</v>
      </c>
      <c r="AY81" s="91" t="s">
        <v>279</v>
      </c>
      <c r="AZ81" s="91" t="s">
        <v>279</v>
      </c>
      <c r="BA81" s="442"/>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row>
    <row r="82" spans="1:92" s="113" customFormat="1" ht="13" x14ac:dyDescent="0.3">
      <c r="A82" s="91">
        <v>50</v>
      </c>
      <c r="B82" s="91" t="s">
        <v>279</v>
      </c>
      <c r="C82" s="91" t="s">
        <v>279</v>
      </c>
      <c r="D82" s="91" t="s">
        <v>279</v>
      </c>
      <c r="E82" s="91" t="s">
        <v>357</v>
      </c>
      <c r="F82" s="91" t="s">
        <v>371</v>
      </c>
      <c r="G82" s="91" t="s">
        <v>174</v>
      </c>
      <c r="H82" s="91" t="s">
        <v>377</v>
      </c>
      <c r="I82" s="91" t="s">
        <v>378</v>
      </c>
      <c r="J82" s="91" t="s">
        <v>379</v>
      </c>
      <c r="K82" s="91"/>
      <c r="L82" s="91"/>
      <c r="M82" s="91"/>
      <c r="N82" s="91" t="s">
        <v>342</v>
      </c>
      <c r="O82" s="91" t="s">
        <v>385</v>
      </c>
      <c r="P82" s="91" t="s">
        <v>184</v>
      </c>
      <c r="Q82" s="91"/>
      <c r="R82" s="91"/>
      <c r="S82" s="91"/>
      <c r="T82" s="91" t="s">
        <v>343</v>
      </c>
      <c r="U82" s="91" t="s">
        <v>187</v>
      </c>
      <c r="V82" s="91" t="s">
        <v>387</v>
      </c>
      <c r="W82" s="91" t="s">
        <v>344</v>
      </c>
      <c r="X82" s="91" t="s">
        <v>392</v>
      </c>
      <c r="Y82" s="91" t="s">
        <v>290</v>
      </c>
      <c r="Z82" s="91" t="s">
        <v>354</v>
      </c>
      <c r="AA82" s="91" t="s">
        <v>195</v>
      </c>
      <c r="AB82" s="91" t="s">
        <v>196</v>
      </c>
      <c r="AC82" s="91" t="s">
        <v>358</v>
      </c>
      <c r="AD82" s="91" t="s">
        <v>201</v>
      </c>
      <c r="AE82" s="91" t="s">
        <v>202</v>
      </c>
      <c r="AF82" s="91" t="s">
        <v>420</v>
      </c>
      <c r="AG82" s="91" t="s">
        <v>421</v>
      </c>
      <c r="AH82" s="91" t="s">
        <v>422</v>
      </c>
      <c r="AI82" s="91" t="s">
        <v>347</v>
      </c>
      <c r="AJ82" s="91" t="s">
        <v>203</v>
      </c>
      <c r="AK82" s="91" t="s">
        <v>204</v>
      </c>
      <c r="AL82" s="91" t="s">
        <v>348</v>
      </c>
      <c r="AM82" s="91" t="s">
        <v>211</v>
      </c>
      <c r="AN82" s="91" t="s">
        <v>212</v>
      </c>
      <c r="AO82" s="91" t="s">
        <v>279</v>
      </c>
      <c r="AP82" s="91" t="s">
        <v>279</v>
      </c>
      <c r="AQ82" s="91" t="s">
        <v>279</v>
      </c>
      <c r="AR82" s="91" t="s">
        <v>279</v>
      </c>
      <c r="AS82" s="91" t="s">
        <v>279</v>
      </c>
      <c r="AT82" s="91" t="s">
        <v>279</v>
      </c>
      <c r="AU82" s="91"/>
      <c r="AV82" s="91"/>
      <c r="AW82" s="91"/>
      <c r="AX82" s="91"/>
      <c r="AY82" s="91"/>
      <c r="AZ82" s="91"/>
      <c r="BA82" s="442"/>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row>
    <row r="83" spans="1:92" s="113" customFormat="1" ht="13" x14ac:dyDescent="0.3">
      <c r="A83" s="91">
        <v>75</v>
      </c>
      <c r="B83" s="91"/>
      <c r="C83" s="91"/>
      <c r="D83" s="91"/>
      <c r="E83" s="91" t="s">
        <v>359</v>
      </c>
      <c r="F83" s="91" t="s">
        <v>372</v>
      </c>
      <c r="G83" s="91" t="s">
        <v>176</v>
      </c>
      <c r="H83" s="91" t="s">
        <v>363</v>
      </c>
      <c r="I83" s="91" t="s">
        <v>380</v>
      </c>
      <c r="J83" s="91" t="s">
        <v>177</v>
      </c>
      <c r="K83" s="91"/>
      <c r="L83" s="91"/>
      <c r="M83" s="91"/>
      <c r="N83" s="91" t="s">
        <v>352</v>
      </c>
      <c r="O83" s="91" t="s">
        <v>386</v>
      </c>
      <c r="P83" s="91" t="s">
        <v>289</v>
      </c>
      <c r="Q83" s="91"/>
      <c r="R83" s="91"/>
      <c r="S83" s="91"/>
      <c r="T83" s="91" t="s">
        <v>279</v>
      </c>
      <c r="U83" s="91" t="s">
        <v>279</v>
      </c>
      <c r="V83" s="91" t="s">
        <v>279</v>
      </c>
      <c r="W83" s="91" t="s">
        <v>393</v>
      </c>
      <c r="X83" s="91" t="s">
        <v>394</v>
      </c>
      <c r="Y83" s="91" t="s">
        <v>395</v>
      </c>
      <c r="Z83" s="91" t="s">
        <v>396</v>
      </c>
      <c r="AA83" s="91" t="s">
        <v>397</v>
      </c>
      <c r="AB83" s="91" t="s">
        <v>398</v>
      </c>
      <c r="AC83" s="91" t="s">
        <v>360</v>
      </c>
      <c r="AD83" s="91" t="s">
        <v>199</v>
      </c>
      <c r="AE83" s="91" t="s">
        <v>200</v>
      </c>
      <c r="AF83" s="91" t="s">
        <v>423</v>
      </c>
      <c r="AG83" s="91" t="s">
        <v>424</v>
      </c>
      <c r="AH83" s="91" t="s">
        <v>425</v>
      </c>
      <c r="AI83" s="91" t="s">
        <v>356</v>
      </c>
      <c r="AJ83" s="91" t="s">
        <v>207</v>
      </c>
      <c r="AK83" s="91" t="s">
        <v>208</v>
      </c>
      <c r="AL83" s="91" t="s">
        <v>279</v>
      </c>
      <c r="AM83" s="91" t="s">
        <v>279</v>
      </c>
      <c r="AN83" s="91" t="s">
        <v>279</v>
      </c>
      <c r="AO83" s="91"/>
      <c r="AP83" s="91"/>
      <c r="AQ83" s="91"/>
      <c r="AR83" s="91"/>
      <c r="AS83" s="91"/>
      <c r="AT83" s="91"/>
      <c r="AU83" s="91"/>
      <c r="AV83" s="91"/>
      <c r="AW83" s="91"/>
      <c r="AX83" s="91"/>
      <c r="AY83" s="91"/>
      <c r="AZ83" s="91"/>
      <c r="BA83" s="442"/>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row>
    <row r="84" spans="1:92" s="113" customFormat="1" ht="13" x14ac:dyDescent="0.3">
      <c r="A84" s="91">
        <v>100</v>
      </c>
      <c r="B84" s="91"/>
      <c r="C84" s="91"/>
      <c r="D84" s="91"/>
      <c r="E84" s="91" t="s">
        <v>359</v>
      </c>
      <c r="F84" s="91" t="s">
        <v>372</v>
      </c>
      <c r="G84" s="91" t="s">
        <v>176</v>
      </c>
      <c r="H84" s="91" t="s">
        <v>279</v>
      </c>
      <c r="I84" s="91" t="s">
        <v>279</v>
      </c>
      <c r="J84" s="91" t="s">
        <v>279</v>
      </c>
      <c r="K84" s="91"/>
      <c r="L84" s="91"/>
      <c r="M84" s="91"/>
      <c r="N84" s="91" t="s">
        <v>279</v>
      </c>
      <c r="O84" s="91" t="s">
        <v>279</v>
      </c>
      <c r="P84" s="91" t="s">
        <v>279</v>
      </c>
      <c r="Q84" s="91"/>
      <c r="R84" s="91"/>
      <c r="S84" s="91"/>
      <c r="T84" s="91"/>
      <c r="U84" s="91"/>
      <c r="V84" s="91"/>
      <c r="W84" s="91" t="s">
        <v>490</v>
      </c>
      <c r="X84" s="91" t="s">
        <v>491</v>
      </c>
      <c r="Y84" s="91" t="s">
        <v>492</v>
      </c>
      <c r="Z84" s="91" t="s">
        <v>399</v>
      </c>
      <c r="AA84" s="91" t="s">
        <v>400</v>
      </c>
      <c r="AB84" s="91" t="s">
        <v>401</v>
      </c>
      <c r="AC84" s="91" t="s">
        <v>405</v>
      </c>
      <c r="AD84" s="91" t="s">
        <v>406</v>
      </c>
      <c r="AE84" s="91" t="s">
        <v>407</v>
      </c>
      <c r="AF84" s="91" t="s">
        <v>279</v>
      </c>
      <c r="AG84" s="91" t="s">
        <v>279</v>
      </c>
      <c r="AH84" s="91" t="s">
        <v>279</v>
      </c>
      <c r="AI84" s="91" t="s">
        <v>429</v>
      </c>
      <c r="AJ84" s="91" t="s">
        <v>430</v>
      </c>
      <c r="AK84" s="91" t="s">
        <v>431</v>
      </c>
      <c r="AL84" s="91"/>
      <c r="AM84" s="91"/>
      <c r="AN84" s="91"/>
      <c r="AO84" s="91"/>
      <c r="AP84" s="91"/>
      <c r="AQ84" s="91"/>
      <c r="AR84" s="91"/>
      <c r="AS84" s="91"/>
      <c r="AT84" s="91"/>
      <c r="AU84" s="91"/>
      <c r="AV84" s="91"/>
      <c r="AW84" s="91"/>
      <c r="AX84" s="91"/>
      <c r="AY84" s="91"/>
      <c r="AZ84" s="91"/>
      <c r="BA84" s="442"/>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row>
    <row r="85" spans="1:92" s="113" customFormat="1" ht="13" x14ac:dyDescent="0.3">
      <c r="A85" s="91">
        <v>112.5</v>
      </c>
      <c r="B85" s="442"/>
      <c r="C85" s="442"/>
      <c r="D85" s="442"/>
      <c r="E85" s="448" t="s">
        <v>351</v>
      </c>
      <c r="F85" s="440" t="s">
        <v>624</v>
      </c>
      <c r="G85" s="449" t="s">
        <v>622</v>
      </c>
      <c r="H85" s="442"/>
      <c r="I85" s="442"/>
      <c r="J85" s="442"/>
      <c r="K85" s="442"/>
      <c r="L85" s="442"/>
      <c r="M85" s="442"/>
      <c r="N85" s="442"/>
      <c r="O85" s="442"/>
      <c r="P85" s="442"/>
      <c r="Q85" s="442"/>
      <c r="R85" s="442"/>
      <c r="S85" s="442"/>
      <c r="T85" s="442"/>
      <c r="U85" s="442"/>
      <c r="V85" s="442"/>
      <c r="W85" s="445" t="s">
        <v>279</v>
      </c>
      <c r="X85" s="446" t="s">
        <v>279</v>
      </c>
      <c r="Y85" s="447" t="s">
        <v>279</v>
      </c>
      <c r="Z85" s="445" t="s">
        <v>279</v>
      </c>
      <c r="AA85" s="446" t="s">
        <v>279</v>
      </c>
      <c r="AB85" s="446" t="s">
        <v>279</v>
      </c>
      <c r="AC85" s="443" t="s">
        <v>408</v>
      </c>
      <c r="AD85" s="442" t="s">
        <v>409</v>
      </c>
      <c r="AE85" s="444" t="s">
        <v>410</v>
      </c>
      <c r="AF85" s="442"/>
      <c r="AG85" s="442"/>
      <c r="AH85" s="442"/>
      <c r="AI85" s="443" t="s">
        <v>432</v>
      </c>
      <c r="AJ85" s="442" t="s">
        <v>433</v>
      </c>
      <c r="AK85" s="444" t="s">
        <v>434</v>
      </c>
      <c r="AL85" s="442"/>
      <c r="AM85" s="442"/>
      <c r="AN85" s="442"/>
      <c r="AO85" s="442"/>
      <c r="AP85" s="442"/>
      <c r="AQ85" s="442"/>
      <c r="AR85" s="442"/>
      <c r="AS85" s="442"/>
      <c r="AT85" s="442"/>
      <c r="AU85" s="442"/>
      <c r="AV85" s="442"/>
      <c r="AW85" s="442"/>
      <c r="AX85" s="442"/>
      <c r="AY85" s="442"/>
      <c r="AZ85" s="442"/>
      <c r="BA85" s="442"/>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row>
    <row r="86" spans="1:92" s="113" customFormat="1" ht="13" x14ac:dyDescent="0.3">
      <c r="A86" s="91">
        <v>150</v>
      </c>
      <c r="B86" s="442"/>
      <c r="C86" s="442"/>
      <c r="D86" s="91"/>
      <c r="E86" s="91" t="s">
        <v>279</v>
      </c>
      <c r="F86" s="91" t="s">
        <v>279</v>
      </c>
      <c r="G86" s="91" t="s">
        <v>279</v>
      </c>
      <c r="H86" s="91"/>
      <c r="I86" s="442"/>
      <c r="J86" s="442"/>
      <c r="K86" s="442"/>
      <c r="L86" s="442"/>
      <c r="M86" s="442"/>
      <c r="N86" s="442"/>
      <c r="O86" s="442"/>
      <c r="P86" s="442"/>
      <c r="Q86" s="442"/>
      <c r="R86" s="442"/>
      <c r="S86" s="442"/>
      <c r="T86" s="442"/>
      <c r="U86" s="442"/>
      <c r="V86" s="442"/>
      <c r="W86" s="442"/>
      <c r="X86" s="442"/>
      <c r="Y86" s="442"/>
      <c r="Z86" s="442"/>
      <c r="AA86" s="442"/>
      <c r="AB86" s="442"/>
      <c r="AC86" s="443" t="s">
        <v>411</v>
      </c>
      <c r="AD86" s="442" t="s">
        <v>412</v>
      </c>
      <c r="AE86" s="444" t="s">
        <v>413</v>
      </c>
      <c r="AF86" s="442"/>
      <c r="AG86" s="442"/>
      <c r="AH86" s="442"/>
      <c r="AI86" s="443" t="s">
        <v>435</v>
      </c>
      <c r="AJ86" s="442" t="s">
        <v>436</v>
      </c>
      <c r="AK86" s="444" t="s">
        <v>437</v>
      </c>
      <c r="AL86" s="442"/>
      <c r="AM86" s="442"/>
      <c r="AN86" s="442"/>
      <c r="AO86" s="442"/>
      <c r="AP86" s="442"/>
      <c r="AQ86" s="442"/>
      <c r="AR86" s="442"/>
      <c r="AS86" s="442"/>
      <c r="AT86" s="442"/>
      <c r="AU86" s="442"/>
      <c r="AV86" s="442"/>
      <c r="AW86" s="442"/>
      <c r="AX86" s="442"/>
      <c r="AY86" s="442"/>
      <c r="AZ86" s="442"/>
      <c r="BA86" s="442"/>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row>
    <row r="87" spans="1:92" s="113" customFormat="1" ht="13" x14ac:dyDescent="0.3">
      <c r="A87" s="91">
        <v>167</v>
      </c>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5" t="s">
        <v>279</v>
      </c>
      <c r="AD87" s="446" t="s">
        <v>279</v>
      </c>
      <c r="AE87" s="447" t="s">
        <v>279</v>
      </c>
      <c r="AF87" s="442"/>
      <c r="AG87" s="442"/>
      <c r="AH87" s="442"/>
      <c r="AI87" s="445" t="s">
        <v>279</v>
      </c>
      <c r="AJ87" s="446" t="s">
        <v>279</v>
      </c>
      <c r="AK87" s="447" t="s">
        <v>279</v>
      </c>
      <c r="AL87" s="442"/>
      <c r="AM87" s="442"/>
      <c r="AN87" s="442"/>
      <c r="AO87" s="442"/>
      <c r="AP87" s="442"/>
      <c r="AQ87" s="442"/>
      <c r="AR87" s="442"/>
      <c r="AS87" s="442"/>
      <c r="AT87" s="442"/>
      <c r="AU87" s="442"/>
      <c r="AV87" s="442"/>
      <c r="AW87" s="442"/>
      <c r="AX87" s="442"/>
      <c r="AY87" s="442"/>
      <c r="AZ87" s="442"/>
      <c r="BA87" s="442"/>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c r="CA87" s="91"/>
      <c r="CB87" s="91"/>
      <c r="CC87" s="91"/>
      <c r="CD87" s="91"/>
      <c r="CE87" s="91"/>
      <c r="CF87" s="91"/>
      <c r="CG87" s="91"/>
      <c r="CH87" s="91"/>
      <c r="CI87" s="91"/>
      <c r="CJ87" s="91"/>
      <c r="CK87" s="91"/>
    </row>
    <row r="88" spans="1:92" s="113" customFormat="1" ht="13.5" customHeight="1" x14ac:dyDescent="0.3">
      <c r="A88" s="91">
        <v>300</v>
      </c>
      <c r="B88" s="91"/>
      <c r="C88" s="91"/>
      <c r="D88" s="91"/>
      <c r="E88" s="91"/>
      <c r="F88" s="91"/>
      <c r="G88" s="91"/>
      <c r="H88" s="91"/>
      <c r="I88" s="91"/>
      <c r="J88" s="91" t="s">
        <v>1</v>
      </c>
      <c r="K88" s="91" t="s">
        <v>1</v>
      </c>
      <c r="L88" s="91" t="s">
        <v>1</v>
      </c>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row>
    <row r="89" spans="1:92" s="113" customFormat="1" ht="13" x14ac:dyDescent="0.3">
      <c r="A89" s="91">
        <v>500</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row>
    <row r="90" spans="1:92" s="113" customFormat="1" ht="13" x14ac:dyDescent="0.3">
      <c r="A90" s="91">
        <v>750</v>
      </c>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row>
    <row r="91" spans="1:92" s="113" customFormat="1" ht="13" x14ac:dyDescent="0.3">
      <c r="A91" s="91">
        <v>1000</v>
      </c>
      <c r="B91" s="91"/>
      <c r="C91" s="91" t="s">
        <v>1</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c r="CI91" s="91"/>
      <c r="CJ91" s="91"/>
      <c r="CK91" s="91"/>
      <c r="CL91" s="91"/>
      <c r="CM91" s="91"/>
      <c r="CN91" s="91"/>
    </row>
    <row r="92" spans="1:92" s="113" customFormat="1" ht="13" x14ac:dyDescent="0.3">
      <c r="A92" s="91">
        <v>1500</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91"/>
      <c r="CI92" s="91"/>
      <c r="CJ92" s="91"/>
      <c r="CK92" s="91"/>
      <c r="CL92" s="91"/>
      <c r="CM92" s="91"/>
      <c r="CN92" s="91"/>
    </row>
    <row r="93" spans="1:92" s="113" customFormat="1" ht="13" x14ac:dyDescent="0.3">
      <c r="A93" s="91">
        <v>2000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t="s">
        <v>1</v>
      </c>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1"/>
      <c r="CN93" s="91"/>
    </row>
    <row r="94" spans="1:92" s="113" customFormat="1" ht="13" x14ac:dyDescent="0.3">
      <c r="A94" s="91">
        <v>2500</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row>
    <row r="95" spans="1:92" s="113" customFormat="1" ht="13" x14ac:dyDescent="0.3">
      <c r="A95" s="91">
        <v>5000</v>
      </c>
      <c r="B95" s="91"/>
      <c r="C95" s="91"/>
      <c r="D95" s="91"/>
      <c r="E95" s="91"/>
      <c r="F95" s="91"/>
      <c r="G95" s="91"/>
      <c r="H95" s="91"/>
      <c r="I95" s="91"/>
      <c r="J95" s="91" t="s">
        <v>1</v>
      </c>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row>
    <row r="96" spans="1:92" s="113" customFormat="1" ht="13" x14ac:dyDescent="0.3">
      <c r="A96" s="91">
        <v>7500</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J96" s="91"/>
      <c r="CK96" s="91"/>
      <c r="CL96" s="91"/>
      <c r="CM96" s="91"/>
      <c r="CN96" s="91"/>
    </row>
    <row r="97" spans="1:92" s="113" customFormat="1" ht="13" x14ac:dyDescent="0.3">
      <c r="A97" s="91" t="s">
        <v>59</v>
      </c>
      <c r="B97" s="91" t="s">
        <v>477</v>
      </c>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c r="CI97" s="91"/>
      <c r="CJ97" s="91"/>
      <c r="CK97" s="91"/>
      <c r="CL97" s="91"/>
      <c r="CM97" s="91"/>
      <c r="CN97" s="91"/>
    </row>
    <row r="98" spans="1:92" s="113" customFormat="1" ht="13" x14ac:dyDescent="0.3">
      <c r="A98" s="91" t="s">
        <v>476</v>
      </c>
      <c r="B98" s="91" t="s">
        <v>58</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c r="CN98" s="91"/>
    </row>
    <row r="99" spans="1:92" s="113" customFormat="1" ht="13" x14ac:dyDescent="0.3">
      <c r="A99" s="91" t="s">
        <v>58</v>
      </c>
      <c r="B99" s="91" t="s">
        <v>30</v>
      </c>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row>
    <row r="100" spans="1:92" ht="13" x14ac:dyDescent="0.3">
      <c r="A100" s="91" t="s">
        <v>478</v>
      </c>
      <c r="B100" s="91" t="s">
        <v>479</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row>
    <row r="101" spans="1:92" ht="13" x14ac:dyDescent="0.3">
      <c r="A101" s="91" t="s">
        <v>480</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row>
    <row r="102" spans="1:92" ht="13" x14ac:dyDescent="0.3">
      <c r="A102" s="91" t="s">
        <v>481</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row>
    <row r="103" spans="1:92" ht="13" x14ac:dyDescent="0.3">
      <c r="A103" s="91" t="s">
        <v>482</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row>
    <row r="104" spans="1:92" ht="13" x14ac:dyDescent="0.3">
      <c r="A104" s="91" t="s">
        <v>280</v>
      </c>
      <c r="B104" s="91" t="s">
        <v>171</v>
      </c>
      <c r="C104" s="91" t="s">
        <v>281</v>
      </c>
      <c r="D104" s="91" t="s">
        <v>141</v>
      </c>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row>
    <row r="105" spans="1:92" ht="13" x14ac:dyDescent="0.3">
      <c r="A105" s="91" t="s">
        <v>428</v>
      </c>
      <c r="B105" s="91" t="s">
        <v>426</v>
      </c>
      <c r="C105" s="91" t="s">
        <v>427</v>
      </c>
      <c r="D105" s="91">
        <v>1000</v>
      </c>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row>
    <row r="106" spans="1:92" ht="13" x14ac:dyDescent="0.3">
      <c r="A106" s="91" t="s">
        <v>440</v>
      </c>
      <c r="B106" s="91" t="s">
        <v>438</v>
      </c>
      <c r="C106" s="91" t="s">
        <v>439</v>
      </c>
      <c r="D106" s="91">
        <v>1500</v>
      </c>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row>
    <row r="107" spans="1:92" ht="13" x14ac:dyDescent="0.3">
      <c r="A107" s="91" t="s">
        <v>404</v>
      </c>
      <c r="B107" s="91" t="s">
        <v>402</v>
      </c>
      <c r="C107" s="91" t="s">
        <v>403</v>
      </c>
      <c r="D107" s="91">
        <v>500</v>
      </c>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row>
    <row r="108" spans="1:92" ht="13" x14ac:dyDescent="0.3">
      <c r="A108" s="91" t="s">
        <v>416</v>
      </c>
      <c r="B108" s="91" t="s">
        <v>414</v>
      </c>
      <c r="C108" s="91" t="s">
        <v>415</v>
      </c>
      <c r="D108" s="91">
        <v>750</v>
      </c>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row>
    <row r="109" spans="1:92" ht="13" x14ac:dyDescent="0.3">
      <c r="A109" s="91" t="s">
        <v>419</v>
      </c>
      <c r="B109" s="91" t="s">
        <v>417</v>
      </c>
      <c r="C109" s="91" t="s">
        <v>418</v>
      </c>
      <c r="D109" s="91">
        <v>750</v>
      </c>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row>
    <row r="110" spans="1:92" ht="13" x14ac:dyDescent="0.3">
      <c r="A110" s="91" t="s">
        <v>183</v>
      </c>
      <c r="B110" s="91" t="s">
        <v>328</v>
      </c>
      <c r="C110" s="91" t="s">
        <v>381</v>
      </c>
      <c r="D110" s="91">
        <v>100</v>
      </c>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row>
    <row r="111" spans="1:92" ht="13" x14ac:dyDescent="0.3">
      <c r="A111" s="91" t="s">
        <v>384</v>
      </c>
      <c r="B111" s="91" t="s">
        <v>382</v>
      </c>
      <c r="C111" s="91" t="s">
        <v>383</v>
      </c>
      <c r="D111" s="91">
        <v>100</v>
      </c>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c r="CJ111" s="91"/>
      <c r="CK111" s="91"/>
      <c r="CL111" s="91"/>
      <c r="CM111" s="91"/>
      <c r="CN111" s="91"/>
    </row>
    <row r="112" spans="1:92" ht="13" x14ac:dyDescent="0.3">
      <c r="A112" s="91" t="s">
        <v>184</v>
      </c>
      <c r="B112" s="91" t="s">
        <v>342</v>
      </c>
      <c r="C112" s="91" t="s">
        <v>385</v>
      </c>
      <c r="D112" s="91">
        <v>100</v>
      </c>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row>
    <row r="113" spans="1:92" ht="13" x14ac:dyDescent="0.3">
      <c r="A113" s="91" t="s">
        <v>289</v>
      </c>
      <c r="B113" s="91" t="s">
        <v>352</v>
      </c>
      <c r="C113" s="91" t="s">
        <v>386</v>
      </c>
      <c r="D113" s="91">
        <v>100</v>
      </c>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row>
    <row r="114" spans="1:92" ht="13" x14ac:dyDescent="0.3">
      <c r="A114" s="91" t="s">
        <v>367</v>
      </c>
      <c r="B114" s="91" t="s">
        <v>365</v>
      </c>
      <c r="C114" s="91" t="s">
        <v>366</v>
      </c>
      <c r="D114" s="91">
        <v>10</v>
      </c>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row>
    <row r="115" spans="1:92" ht="13" x14ac:dyDescent="0.3">
      <c r="A115" s="91" t="s">
        <v>172</v>
      </c>
      <c r="B115" s="91" t="s">
        <v>362</v>
      </c>
      <c r="C115" s="91" t="s">
        <v>368</v>
      </c>
      <c r="D115" s="91">
        <v>10</v>
      </c>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row>
    <row r="116" spans="1:92" ht="13" x14ac:dyDescent="0.3">
      <c r="A116" s="91" t="s">
        <v>190</v>
      </c>
      <c r="B116" s="91" t="s">
        <v>330</v>
      </c>
      <c r="C116" s="91" t="s">
        <v>388</v>
      </c>
      <c r="D116" s="91">
        <v>167</v>
      </c>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row>
    <row r="117" spans="1:92" ht="13" x14ac:dyDescent="0.3">
      <c r="A117" s="91" t="s">
        <v>391</v>
      </c>
      <c r="B117" s="91" t="s">
        <v>389</v>
      </c>
      <c r="C117" s="91" t="s">
        <v>390</v>
      </c>
      <c r="D117" s="91">
        <v>167</v>
      </c>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row>
    <row r="118" spans="1:92" ht="13" x14ac:dyDescent="0.3">
      <c r="A118" s="91" t="s">
        <v>290</v>
      </c>
      <c r="B118" s="91" t="s">
        <v>344</v>
      </c>
      <c r="C118" s="91" t="s">
        <v>392</v>
      </c>
      <c r="D118" s="91">
        <v>167</v>
      </c>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row>
    <row r="119" spans="1:92" ht="13" x14ac:dyDescent="0.3">
      <c r="A119" s="91" t="s">
        <v>173</v>
      </c>
      <c r="B119" s="91" t="s">
        <v>339</v>
      </c>
      <c r="C119" s="91" t="s">
        <v>369</v>
      </c>
      <c r="D119" s="91">
        <v>25</v>
      </c>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row>
    <row r="120" spans="1:92" ht="13" x14ac:dyDescent="0.3">
      <c r="A120" s="440" t="s">
        <v>622</v>
      </c>
      <c r="B120" s="440" t="s">
        <v>351</v>
      </c>
      <c r="C120" s="440" t="s">
        <v>621</v>
      </c>
      <c r="D120" s="440">
        <v>25</v>
      </c>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c r="CI120" s="91"/>
      <c r="CJ120" s="91"/>
      <c r="CK120" s="91"/>
      <c r="CL120" s="91"/>
      <c r="CM120" s="91"/>
      <c r="CN120" s="91"/>
    </row>
    <row r="121" spans="1:92" ht="13" x14ac:dyDescent="0.3">
      <c r="A121" s="440" t="s">
        <v>175</v>
      </c>
      <c r="B121" s="440" t="s">
        <v>351</v>
      </c>
      <c r="C121" s="440" t="s">
        <v>370</v>
      </c>
      <c r="D121" s="440">
        <v>25</v>
      </c>
      <c r="E121" s="441" t="s">
        <v>1</v>
      </c>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row>
    <row r="122" spans="1:92" ht="13" x14ac:dyDescent="0.3">
      <c r="A122" s="91" t="s">
        <v>174</v>
      </c>
      <c r="B122" s="91" t="s">
        <v>357</v>
      </c>
      <c r="C122" s="91" t="s">
        <v>371</v>
      </c>
      <c r="D122" s="91">
        <v>25</v>
      </c>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row>
    <row r="123" spans="1:92" ht="13" x14ac:dyDescent="0.3">
      <c r="A123" s="91" t="s">
        <v>176</v>
      </c>
      <c r="B123" s="91" t="s">
        <v>359</v>
      </c>
      <c r="C123" s="91" t="s">
        <v>372</v>
      </c>
      <c r="D123" s="91">
        <v>25</v>
      </c>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c r="CI123" s="91"/>
      <c r="CJ123" s="91"/>
      <c r="CK123" s="91"/>
      <c r="CL123" s="91"/>
      <c r="CM123" s="91"/>
      <c r="CN123" s="91"/>
    </row>
    <row r="124" spans="1:92" ht="13" x14ac:dyDescent="0.3">
      <c r="A124" s="91" t="s">
        <v>178</v>
      </c>
      <c r="B124" s="91" t="s">
        <v>340</v>
      </c>
      <c r="C124" s="91" t="s">
        <v>373</v>
      </c>
      <c r="D124" s="91">
        <v>50</v>
      </c>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c r="CI124" s="91"/>
      <c r="CJ124" s="91"/>
      <c r="CK124" s="91"/>
      <c r="CL124" s="91"/>
      <c r="CM124" s="91"/>
      <c r="CN124" s="91"/>
    </row>
    <row r="125" spans="1:92" ht="13" x14ac:dyDescent="0.3">
      <c r="A125" s="91" t="s">
        <v>376</v>
      </c>
      <c r="B125" s="91" t="s">
        <v>374</v>
      </c>
      <c r="C125" s="91" t="s">
        <v>375</v>
      </c>
      <c r="D125" s="91">
        <v>50</v>
      </c>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c r="CI125" s="91"/>
      <c r="CJ125" s="91"/>
      <c r="CK125" s="91"/>
      <c r="CL125" s="91"/>
      <c r="CM125" s="91"/>
      <c r="CN125" s="91"/>
    </row>
    <row r="126" spans="1:92" ht="13" x14ac:dyDescent="0.3">
      <c r="A126" s="91" t="s">
        <v>379</v>
      </c>
      <c r="B126" s="91" t="s">
        <v>377</v>
      </c>
      <c r="C126" s="91" t="s">
        <v>378</v>
      </c>
      <c r="D126" s="91">
        <v>50</v>
      </c>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c r="CI126" s="91"/>
      <c r="CJ126" s="91"/>
      <c r="CK126" s="91"/>
      <c r="CL126" s="91"/>
      <c r="CM126" s="91"/>
      <c r="CN126" s="91"/>
    </row>
    <row r="127" spans="1:92" ht="13" x14ac:dyDescent="0.3">
      <c r="A127" s="91" t="s">
        <v>177</v>
      </c>
      <c r="B127" s="91" t="s">
        <v>363</v>
      </c>
      <c r="C127" s="91" t="s">
        <v>380</v>
      </c>
      <c r="D127" s="91">
        <v>50</v>
      </c>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c r="CI127" s="91"/>
      <c r="CJ127" s="91"/>
      <c r="CK127" s="91"/>
      <c r="CL127" s="91"/>
      <c r="CM127" s="91"/>
      <c r="CN127" s="91"/>
    </row>
    <row r="128" spans="1:92" ht="13" x14ac:dyDescent="0.3">
      <c r="A128" s="91" t="s">
        <v>395</v>
      </c>
      <c r="B128" s="91" t="s">
        <v>393</v>
      </c>
      <c r="C128" s="91" t="s">
        <v>394</v>
      </c>
      <c r="D128" s="91">
        <v>167</v>
      </c>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c r="CI128" s="91"/>
      <c r="CJ128" s="91"/>
      <c r="CK128" s="91"/>
      <c r="CL128" s="91"/>
      <c r="CM128" s="91"/>
      <c r="CN128" s="91"/>
    </row>
    <row r="129" spans="1:92" ht="13" x14ac:dyDescent="0.3">
      <c r="A129" s="91" t="s">
        <v>279</v>
      </c>
      <c r="B129" s="91" t="s">
        <v>279</v>
      </c>
      <c r="C129" s="91" t="s">
        <v>279</v>
      </c>
      <c r="D129" s="91" t="s">
        <v>279</v>
      </c>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c r="CI129" s="91"/>
      <c r="CJ129" s="91"/>
      <c r="CK129" s="91"/>
      <c r="CL129" s="91"/>
      <c r="CM129" s="91"/>
      <c r="CN129" s="91"/>
    </row>
    <row r="130" spans="1:92" ht="13" x14ac:dyDescent="0.3">
      <c r="A130" s="91" t="s">
        <v>492</v>
      </c>
      <c r="B130" s="91" t="s">
        <v>490</v>
      </c>
      <c r="C130" s="91" t="s">
        <v>493</v>
      </c>
      <c r="D130" s="91">
        <v>167</v>
      </c>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row>
    <row r="131" spans="1:92" ht="13" x14ac:dyDescent="0.3">
      <c r="A131" s="91" t="s">
        <v>206</v>
      </c>
      <c r="B131" s="91" t="s">
        <v>333</v>
      </c>
      <c r="C131" s="91" t="s">
        <v>205</v>
      </c>
      <c r="D131" s="91">
        <v>1000</v>
      </c>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c r="CI131" s="91"/>
      <c r="CJ131" s="91"/>
      <c r="CK131" s="91"/>
      <c r="CL131" s="91"/>
      <c r="CM131" s="91"/>
      <c r="CN131" s="91"/>
    </row>
    <row r="132" spans="1:92" ht="13" x14ac:dyDescent="0.3">
      <c r="A132" s="91" t="s">
        <v>204</v>
      </c>
      <c r="B132" s="91" t="s">
        <v>347</v>
      </c>
      <c r="C132" s="91" t="s">
        <v>203</v>
      </c>
      <c r="D132" s="91">
        <v>1000</v>
      </c>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c r="CI132" s="91"/>
      <c r="CJ132" s="91"/>
      <c r="CK132" s="91"/>
      <c r="CL132" s="91"/>
      <c r="CM132" s="91"/>
      <c r="CN132" s="91"/>
    </row>
    <row r="133" spans="1:92" ht="13" x14ac:dyDescent="0.3">
      <c r="A133" s="91" t="s">
        <v>208</v>
      </c>
      <c r="B133" s="91" t="s">
        <v>356</v>
      </c>
      <c r="C133" s="91" t="s">
        <v>207</v>
      </c>
      <c r="D133" s="91">
        <v>1000</v>
      </c>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row>
    <row r="134" spans="1:92" ht="13" x14ac:dyDescent="0.3">
      <c r="A134" s="91" t="s">
        <v>210</v>
      </c>
      <c r="B134" s="91" t="s">
        <v>334</v>
      </c>
      <c r="C134" s="91" t="s">
        <v>209</v>
      </c>
      <c r="D134" s="91">
        <v>1500</v>
      </c>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row>
    <row r="135" spans="1:92" ht="13" x14ac:dyDescent="0.3">
      <c r="A135" s="91" t="s">
        <v>212</v>
      </c>
      <c r="B135" s="91" t="s">
        <v>348</v>
      </c>
      <c r="C135" s="91" t="s">
        <v>211</v>
      </c>
      <c r="D135" s="91">
        <v>1500</v>
      </c>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row>
    <row r="136" spans="1:92" ht="13" x14ac:dyDescent="0.3">
      <c r="A136" s="91" t="s">
        <v>186</v>
      </c>
      <c r="B136" s="91" t="s">
        <v>329</v>
      </c>
      <c r="C136" s="91" t="s">
        <v>185</v>
      </c>
      <c r="D136" s="91">
        <v>150</v>
      </c>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c r="CI136" s="91"/>
      <c r="CJ136" s="91"/>
      <c r="CK136" s="91"/>
      <c r="CL136" s="91"/>
      <c r="CM136" s="91"/>
      <c r="CN136" s="91"/>
    </row>
    <row r="137" spans="1:92" ht="13" x14ac:dyDescent="0.3">
      <c r="A137" s="91" t="s">
        <v>189</v>
      </c>
      <c r="B137" s="91" t="s">
        <v>353</v>
      </c>
      <c r="C137" s="91" t="s">
        <v>188</v>
      </c>
      <c r="D137" s="91">
        <v>150</v>
      </c>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c r="CI137" s="91"/>
      <c r="CJ137" s="91"/>
      <c r="CK137" s="91"/>
      <c r="CL137" s="91"/>
      <c r="CM137" s="91"/>
      <c r="CN137" s="91"/>
    </row>
    <row r="138" spans="1:92" ht="13" x14ac:dyDescent="0.3">
      <c r="A138" s="91" t="s">
        <v>214</v>
      </c>
      <c r="B138" s="91" t="s">
        <v>335</v>
      </c>
      <c r="C138" s="91" t="s">
        <v>213</v>
      </c>
      <c r="D138" s="91">
        <v>2000</v>
      </c>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1"/>
      <c r="CM138" s="91"/>
      <c r="CN138" s="91"/>
    </row>
    <row r="139" spans="1:92" ht="13" x14ac:dyDescent="0.3">
      <c r="A139" s="91" t="s">
        <v>216</v>
      </c>
      <c r="B139" s="91" t="s">
        <v>349</v>
      </c>
      <c r="C139" s="91" t="s">
        <v>215</v>
      </c>
      <c r="D139" s="91">
        <v>2000</v>
      </c>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row>
    <row r="140" spans="1:92" ht="13" x14ac:dyDescent="0.3">
      <c r="A140" s="91" t="s">
        <v>443</v>
      </c>
      <c r="B140" s="91" t="s">
        <v>441</v>
      </c>
      <c r="C140" s="91" t="s">
        <v>442</v>
      </c>
      <c r="D140" s="91">
        <v>2500</v>
      </c>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c r="CI140" s="91"/>
      <c r="CJ140" s="91"/>
      <c r="CK140" s="91"/>
      <c r="CL140" s="91"/>
      <c r="CM140" s="91"/>
      <c r="CN140" s="91"/>
    </row>
    <row r="141" spans="1:92" ht="13" x14ac:dyDescent="0.3">
      <c r="A141" s="91" t="s">
        <v>218</v>
      </c>
      <c r="B141" s="91" t="s">
        <v>336</v>
      </c>
      <c r="C141" s="91" t="s">
        <v>217</v>
      </c>
      <c r="D141" s="91">
        <v>2500</v>
      </c>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1"/>
      <c r="CN141" s="91"/>
    </row>
    <row r="142" spans="1:92" ht="13" x14ac:dyDescent="0.3">
      <c r="A142" s="91" t="s">
        <v>220</v>
      </c>
      <c r="B142" s="91" t="s">
        <v>350</v>
      </c>
      <c r="C142" s="91" t="s">
        <v>219</v>
      </c>
      <c r="D142" s="91">
        <v>2500</v>
      </c>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c r="CI142" s="91"/>
      <c r="CJ142" s="91"/>
      <c r="CK142" s="91"/>
      <c r="CL142" s="91"/>
      <c r="CM142" s="91"/>
      <c r="CN142" s="91"/>
    </row>
    <row r="143" spans="1:92" ht="13" x14ac:dyDescent="0.3">
      <c r="A143" s="91" t="s">
        <v>220</v>
      </c>
      <c r="B143" s="91" t="s">
        <v>350</v>
      </c>
      <c r="C143" s="91" t="s">
        <v>219</v>
      </c>
      <c r="D143" s="91">
        <v>2500</v>
      </c>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c r="CI143" s="91"/>
      <c r="CJ143" s="91"/>
      <c r="CK143" s="91"/>
      <c r="CL143" s="91"/>
      <c r="CM143" s="91"/>
      <c r="CN143" s="91"/>
    </row>
    <row r="144" spans="1:92" ht="13" x14ac:dyDescent="0.3">
      <c r="A144" s="91" t="s">
        <v>192</v>
      </c>
      <c r="B144" s="91" t="s">
        <v>331</v>
      </c>
      <c r="C144" s="91" t="s">
        <v>191</v>
      </c>
      <c r="D144" s="91">
        <v>300</v>
      </c>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1"/>
      <c r="CN144" s="91"/>
    </row>
    <row r="145" spans="1:92" ht="13" x14ac:dyDescent="0.3">
      <c r="A145" s="91" t="s">
        <v>192</v>
      </c>
      <c r="B145" s="91" t="s">
        <v>331</v>
      </c>
      <c r="C145" s="91" t="s">
        <v>191</v>
      </c>
      <c r="D145" s="91">
        <v>300</v>
      </c>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c r="CI145" s="91"/>
      <c r="CJ145" s="91"/>
      <c r="CK145" s="91"/>
      <c r="CL145" s="91"/>
      <c r="CM145" s="91"/>
      <c r="CN145" s="91"/>
    </row>
    <row r="146" spans="1:92" ht="13" x14ac:dyDescent="0.3">
      <c r="A146" s="91" t="s">
        <v>194</v>
      </c>
      <c r="B146" s="91" t="s">
        <v>345</v>
      </c>
      <c r="C146" s="91" t="s">
        <v>193</v>
      </c>
      <c r="D146" s="91">
        <v>300</v>
      </c>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c r="CI146" s="91"/>
      <c r="CJ146" s="91"/>
      <c r="CK146" s="91"/>
      <c r="CL146" s="91"/>
      <c r="CM146" s="91"/>
      <c r="CN146" s="91"/>
    </row>
    <row r="147" spans="1:92" ht="13" x14ac:dyDescent="0.3">
      <c r="A147" s="91" t="s">
        <v>194</v>
      </c>
      <c r="B147" s="91" t="s">
        <v>345</v>
      </c>
      <c r="C147" s="91" t="s">
        <v>193</v>
      </c>
      <c r="D147" s="91">
        <v>300</v>
      </c>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c r="CI147" s="91"/>
      <c r="CJ147" s="91"/>
      <c r="CK147" s="91"/>
      <c r="CL147" s="91"/>
      <c r="CM147" s="91"/>
      <c r="CN147" s="91"/>
    </row>
    <row r="148" spans="1:92" ht="13" x14ac:dyDescent="0.3">
      <c r="A148" s="91" t="s">
        <v>196</v>
      </c>
      <c r="B148" s="91" t="s">
        <v>354</v>
      </c>
      <c r="C148" s="91" t="s">
        <v>195</v>
      </c>
      <c r="D148" s="91">
        <v>300</v>
      </c>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c r="CI148" s="91"/>
      <c r="CJ148" s="91"/>
      <c r="CK148" s="91"/>
      <c r="CL148" s="91"/>
      <c r="CM148" s="91"/>
      <c r="CN148" s="91"/>
    </row>
    <row r="149" spans="1:92" ht="13" x14ac:dyDescent="0.3">
      <c r="A149" s="91" t="s">
        <v>196</v>
      </c>
      <c r="B149" s="91" t="s">
        <v>354</v>
      </c>
      <c r="C149" s="91" t="s">
        <v>195</v>
      </c>
      <c r="D149" s="91">
        <v>300</v>
      </c>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c r="CM149" s="91"/>
      <c r="CN149" s="91"/>
    </row>
    <row r="150" spans="1:92" ht="13" x14ac:dyDescent="0.3">
      <c r="A150" s="91" t="s">
        <v>398</v>
      </c>
      <c r="B150" s="91" t="s">
        <v>396</v>
      </c>
      <c r="C150" s="91" t="s">
        <v>397</v>
      </c>
      <c r="D150" s="91">
        <v>300</v>
      </c>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c r="CI150" s="91"/>
      <c r="CJ150" s="91"/>
      <c r="CK150" s="91"/>
      <c r="CL150" s="91"/>
      <c r="CM150" s="91"/>
      <c r="CN150" s="91"/>
    </row>
    <row r="151" spans="1:92" ht="13" x14ac:dyDescent="0.3">
      <c r="A151" s="91" t="s">
        <v>446</v>
      </c>
      <c r="B151" s="91" t="s">
        <v>444</v>
      </c>
      <c r="C151" s="91" t="s">
        <v>445</v>
      </c>
      <c r="D151" s="91">
        <v>5000</v>
      </c>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c r="CI151" s="91"/>
      <c r="CJ151" s="91"/>
      <c r="CK151" s="91"/>
      <c r="CL151" s="91"/>
      <c r="CM151" s="91"/>
      <c r="CN151" s="91"/>
    </row>
    <row r="152" spans="1:92" ht="13" x14ac:dyDescent="0.3">
      <c r="A152" s="91" t="s">
        <v>291</v>
      </c>
      <c r="B152" s="91" t="s">
        <v>337</v>
      </c>
      <c r="C152" s="91" t="s">
        <v>221</v>
      </c>
      <c r="D152" s="91">
        <v>5000</v>
      </c>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c r="CI152" s="91"/>
      <c r="CJ152" s="91"/>
      <c r="CK152" s="91"/>
      <c r="CL152" s="91"/>
      <c r="CM152" s="91"/>
      <c r="CN152" s="91"/>
    </row>
    <row r="153" spans="1:92" ht="13" x14ac:dyDescent="0.3">
      <c r="A153" s="91" t="s">
        <v>198</v>
      </c>
      <c r="B153" s="91" t="s">
        <v>355</v>
      </c>
      <c r="C153" s="91" t="s">
        <v>197</v>
      </c>
      <c r="D153" s="91">
        <v>500</v>
      </c>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c r="CI153" s="91"/>
      <c r="CJ153" s="91"/>
      <c r="CK153" s="91"/>
      <c r="CL153" s="91"/>
      <c r="CM153" s="91"/>
      <c r="CN153" s="91"/>
    </row>
    <row r="154" spans="1:92" ht="13" x14ac:dyDescent="0.3">
      <c r="A154" s="91" t="s">
        <v>198</v>
      </c>
      <c r="B154" s="91" t="s">
        <v>355</v>
      </c>
      <c r="C154" s="91" t="s">
        <v>197</v>
      </c>
      <c r="D154" s="91">
        <v>500</v>
      </c>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c r="CI154" s="91"/>
      <c r="CJ154" s="91"/>
      <c r="CK154" s="91"/>
      <c r="CL154" s="91"/>
      <c r="CM154" s="91"/>
      <c r="CN154" s="91"/>
    </row>
    <row r="155" spans="1:92" ht="13" x14ac:dyDescent="0.3">
      <c r="A155" s="91" t="s">
        <v>202</v>
      </c>
      <c r="B155" s="91" t="s">
        <v>358</v>
      </c>
      <c r="C155" s="91" t="s">
        <v>201</v>
      </c>
      <c r="D155" s="91">
        <v>500</v>
      </c>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91"/>
      <c r="CI155" s="91"/>
      <c r="CJ155" s="91"/>
      <c r="CK155" s="91"/>
      <c r="CL155" s="91"/>
      <c r="CM155" s="91"/>
      <c r="CN155" s="91"/>
    </row>
    <row r="156" spans="1:92" ht="13" x14ac:dyDescent="0.3">
      <c r="A156" s="91" t="s">
        <v>202</v>
      </c>
      <c r="B156" s="91" t="s">
        <v>358</v>
      </c>
      <c r="C156" s="91" t="s">
        <v>201</v>
      </c>
      <c r="D156" s="91">
        <v>500</v>
      </c>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1"/>
      <c r="CN156" s="91"/>
    </row>
    <row r="157" spans="1:92" ht="13" x14ac:dyDescent="0.3">
      <c r="A157" s="91" t="s">
        <v>200</v>
      </c>
      <c r="B157" s="91" t="s">
        <v>360</v>
      </c>
      <c r="C157" s="91" t="s">
        <v>199</v>
      </c>
      <c r="D157" s="91">
        <v>500</v>
      </c>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c r="CI157" s="91"/>
      <c r="CJ157" s="91"/>
      <c r="CK157" s="91"/>
      <c r="CL157" s="91"/>
      <c r="CM157" s="91"/>
      <c r="CN157" s="91"/>
    </row>
    <row r="158" spans="1:92" ht="13" x14ac:dyDescent="0.3">
      <c r="A158" s="91" t="s">
        <v>200</v>
      </c>
      <c r="B158" s="91" t="s">
        <v>360</v>
      </c>
      <c r="C158" s="91" t="s">
        <v>199</v>
      </c>
      <c r="D158" s="91">
        <v>500</v>
      </c>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c r="CI158" s="91"/>
      <c r="CJ158" s="91"/>
      <c r="CK158" s="91"/>
      <c r="CL158" s="91"/>
      <c r="CM158" s="91"/>
      <c r="CN158" s="91"/>
    </row>
    <row r="159" spans="1:92" ht="13" x14ac:dyDescent="0.3">
      <c r="A159" s="91" t="s">
        <v>407</v>
      </c>
      <c r="B159" s="91" t="s">
        <v>405</v>
      </c>
      <c r="C159" s="91" t="s">
        <v>406</v>
      </c>
      <c r="D159" s="91">
        <v>500</v>
      </c>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row>
    <row r="160" spans="1:92" ht="13" x14ac:dyDescent="0.3">
      <c r="A160" s="91" t="s">
        <v>222</v>
      </c>
      <c r="B160" s="91" t="s">
        <v>338</v>
      </c>
      <c r="C160" s="91" t="s">
        <v>447</v>
      </c>
      <c r="D160" s="91">
        <v>7500</v>
      </c>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row>
    <row r="161" spans="1:92" ht="13" x14ac:dyDescent="0.3">
      <c r="A161" s="91" t="s">
        <v>222</v>
      </c>
      <c r="B161" s="91" t="s">
        <v>338</v>
      </c>
      <c r="C161" s="91" t="s">
        <v>223</v>
      </c>
      <c r="D161" s="91">
        <v>7500</v>
      </c>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row>
    <row r="162" spans="1:92" ht="13" x14ac:dyDescent="0.3">
      <c r="A162" s="91" t="s">
        <v>222</v>
      </c>
      <c r="B162" s="91" t="s">
        <v>338</v>
      </c>
      <c r="C162" s="91" t="s">
        <v>224</v>
      </c>
      <c r="D162" s="91">
        <v>7500</v>
      </c>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1"/>
      <c r="CN162" s="91"/>
    </row>
    <row r="163" spans="1:92" ht="13" x14ac:dyDescent="0.3">
      <c r="A163" s="91" t="s">
        <v>222</v>
      </c>
      <c r="B163" s="91" t="s">
        <v>338</v>
      </c>
      <c r="C163" s="91" t="s">
        <v>225</v>
      </c>
      <c r="D163" s="91">
        <v>7500</v>
      </c>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1"/>
      <c r="CN163" s="91"/>
    </row>
    <row r="164" spans="1:92" ht="13" x14ac:dyDescent="0.3">
      <c r="A164" s="91" t="s">
        <v>222</v>
      </c>
      <c r="B164" s="91" t="s">
        <v>338</v>
      </c>
      <c r="C164" s="91" t="s">
        <v>226</v>
      </c>
      <c r="D164" s="91">
        <v>7500</v>
      </c>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c r="CI164" s="91"/>
      <c r="CJ164" s="91"/>
      <c r="CK164" s="91"/>
      <c r="CL164" s="91"/>
      <c r="CM164" s="91"/>
      <c r="CN164" s="91"/>
    </row>
    <row r="165" spans="1:92" ht="13" x14ac:dyDescent="0.3">
      <c r="A165" s="91" t="s">
        <v>222</v>
      </c>
      <c r="B165" s="91" t="s">
        <v>338</v>
      </c>
      <c r="C165" s="91" t="s">
        <v>227</v>
      </c>
      <c r="D165" s="91">
        <v>7500</v>
      </c>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1"/>
      <c r="CN165" s="91"/>
    </row>
    <row r="166" spans="1:92" ht="13" x14ac:dyDescent="0.3">
      <c r="A166" s="91" t="s">
        <v>222</v>
      </c>
      <c r="B166" s="91" t="s">
        <v>338</v>
      </c>
      <c r="C166" s="91" t="s">
        <v>228</v>
      </c>
      <c r="D166" s="91">
        <v>7500</v>
      </c>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1"/>
      <c r="CN166" s="91"/>
    </row>
    <row r="167" spans="1:92" ht="13" x14ac:dyDescent="0.3">
      <c r="A167" s="91" t="s">
        <v>222</v>
      </c>
      <c r="B167" s="91" t="s">
        <v>338</v>
      </c>
      <c r="C167" s="91" t="s">
        <v>229</v>
      </c>
      <c r="D167" s="91">
        <v>7500</v>
      </c>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c r="CI167" s="91"/>
      <c r="CJ167" s="91"/>
      <c r="CK167" s="91"/>
      <c r="CL167" s="91"/>
      <c r="CM167" s="91"/>
      <c r="CN167" s="91"/>
    </row>
    <row r="168" spans="1:92" ht="13" x14ac:dyDescent="0.3">
      <c r="A168" s="91" t="s">
        <v>182</v>
      </c>
      <c r="B168" s="91" t="s">
        <v>327</v>
      </c>
      <c r="C168" s="91" t="s">
        <v>181</v>
      </c>
      <c r="D168" s="91">
        <v>75</v>
      </c>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c r="CI168" s="91"/>
      <c r="CJ168" s="91"/>
      <c r="CK168" s="91"/>
      <c r="CL168" s="91"/>
      <c r="CM168" s="91"/>
      <c r="CN168" s="91"/>
    </row>
    <row r="169" spans="1:92" ht="13" x14ac:dyDescent="0.3">
      <c r="A169" s="91" t="s">
        <v>180</v>
      </c>
      <c r="B169" s="91" t="s">
        <v>341</v>
      </c>
      <c r="C169" s="91" t="s">
        <v>179</v>
      </c>
      <c r="D169" s="91">
        <v>75</v>
      </c>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row>
    <row r="170" spans="1:92" ht="13" x14ac:dyDescent="0.3">
      <c r="A170" s="91" t="s">
        <v>431</v>
      </c>
      <c r="B170" s="91" t="s">
        <v>429</v>
      </c>
      <c r="C170" s="91" t="s">
        <v>430</v>
      </c>
      <c r="D170" s="91">
        <v>1000</v>
      </c>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c r="CI170" s="91"/>
      <c r="CJ170" s="91"/>
      <c r="CK170" s="91"/>
      <c r="CL170" s="91"/>
      <c r="CM170" s="91"/>
      <c r="CN170" s="91"/>
    </row>
    <row r="171" spans="1:92" ht="13" x14ac:dyDescent="0.3">
      <c r="A171" s="91" t="s">
        <v>387</v>
      </c>
      <c r="B171" s="91" t="s">
        <v>343</v>
      </c>
      <c r="C171" s="91" t="s">
        <v>187</v>
      </c>
      <c r="D171" s="91">
        <v>150</v>
      </c>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1"/>
      <c r="CN171" s="91"/>
    </row>
    <row r="172" spans="1:92" ht="13" x14ac:dyDescent="0.3">
      <c r="A172" s="91" t="s">
        <v>434</v>
      </c>
      <c r="B172" s="91" t="s">
        <v>432</v>
      </c>
      <c r="C172" s="91" t="s">
        <v>433</v>
      </c>
      <c r="D172" s="91">
        <v>1000</v>
      </c>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row>
    <row r="173" spans="1:92" ht="13" x14ac:dyDescent="0.3">
      <c r="A173" s="91" t="s">
        <v>437</v>
      </c>
      <c r="B173" s="91" t="s">
        <v>435</v>
      </c>
      <c r="C173" s="91" t="s">
        <v>436</v>
      </c>
      <c r="D173" s="91">
        <v>1000</v>
      </c>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1"/>
      <c r="CN173" s="91"/>
    </row>
    <row r="174" spans="1:92" ht="13" x14ac:dyDescent="0.3">
      <c r="A174" s="91" t="s">
        <v>401</v>
      </c>
      <c r="B174" s="91" t="s">
        <v>399</v>
      </c>
      <c r="C174" s="91" t="s">
        <v>400</v>
      </c>
      <c r="D174" s="91">
        <v>300</v>
      </c>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1"/>
      <c r="CN174" s="91"/>
    </row>
    <row r="175" spans="1:92" ht="13" x14ac:dyDescent="0.3">
      <c r="A175" s="91" t="s">
        <v>410</v>
      </c>
      <c r="B175" s="91" t="s">
        <v>408</v>
      </c>
      <c r="C175" s="91" t="s">
        <v>409</v>
      </c>
      <c r="D175" s="91">
        <v>500</v>
      </c>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c r="CM175" s="91"/>
      <c r="CN175" s="91"/>
    </row>
    <row r="176" spans="1:92" ht="13" x14ac:dyDescent="0.3">
      <c r="A176" s="91" t="s">
        <v>422</v>
      </c>
      <c r="B176" s="91" t="s">
        <v>420</v>
      </c>
      <c r="C176" s="91" t="s">
        <v>421</v>
      </c>
      <c r="D176" s="91">
        <v>750</v>
      </c>
      <c r="E176" s="91" t="s">
        <v>1</v>
      </c>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1"/>
      <c r="CN176" s="91"/>
    </row>
    <row r="177" spans="1:92" ht="13" x14ac:dyDescent="0.3">
      <c r="A177" s="91" t="s">
        <v>301</v>
      </c>
      <c r="B177" s="91" t="s">
        <v>361</v>
      </c>
      <c r="C177" s="91" t="s">
        <v>303</v>
      </c>
      <c r="D177" s="91">
        <v>1000</v>
      </c>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c r="CM177" s="91"/>
      <c r="CN177" s="91"/>
    </row>
    <row r="178" spans="1:92" ht="13" x14ac:dyDescent="0.3">
      <c r="A178" s="91" t="s">
        <v>302</v>
      </c>
      <c r="B178" s="91" t="s">
        <v>364</v>
      </c>
      <c r="C178" s="91" t="s">
        <v>304</v>
      </c>
      <c r="D178" s="91">
        <v>1000</v>
      </c>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1"/>
      <c r="CN178" s="91"/>
    </row>
    <row r="179" spans="1:92" ht="13" x14ac:dyDescent="0.3">
      <c r="A179" s="91" t="s">
        <v>413</v>
      </c>
      <c r="B179" s="91" t="s">
        <v>411</v>
      </c>
      <c r="C179" s="91" t="s">
        <v>412</v>
      </c>
      <c r="D179" s="91">
        <v>500</v>
      </c>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c r="CI179" s="91"/>
      <c r="CJ179" s="91"/>
      <c r="CK179" s="91"/>
      <c r="CL179" s="91"/>
      <c r="CM179" s="91"/>
      <c r="CN179" s="91"/>
    </row>
    <row r="180" spans="1:92" ht="13" x14ac:dyDescent="0.3">
      <c r="A180" s="91" t="s">
        <v>299</v>
      </c>
      <c r="B180" s="91" t="s">
        <v>332</v>
      </c>
      <c r="C180" s="91" t="s">
        <v>297</v>
      </c>
      <c r="D180" s="91">
        <v>750</v>
      </c>
      <c r="E180" s="91"/>
      <c r="F180" s="91"/>
      <c r="G180" s="91"/>
      <c r="H180" s="91"/>
      <c r="I180" s="91"/>
      <c r="J180" s="91"/>
      <c r="K180" s="91"/>
      <c r="L180" s="91"/>
      <c r="M180" s="91"/>
      <c r="N180" s="91"/>
      <c r="O180" s="91"/>
      <c r="P180" s="91"/>
      <c r="Q180" s="91"/>
      <c r="R180" s="91"/>
      <c r="S180" s="91"/>
      <c r="T180" s="91"/>
      <c r="U180" s="91"/>
      <c r="V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row>
    <row r="181" spans="1:92" ht="13" x14ac:dyDescent="0.3">
      <c r="A181" s="91" t="s">
        <v>425</v>
      </c>
      <c r="B181" s="91" t="s">
        <v>423</v>
      </c>
      <c r="C181" s="91" t="s">
        <v>424</v>
      </c>
      <c r="D181" s="91">
        <v>750</v>
      </c>
      <c r="E181" s="91"/>
      <c r="F181" s="91"/>
      <c r="G181" s="91"/>
    </row>
    <row r="182" spans="1:92" ht="13" x14ac:dyDescent="0.3">
      <c r="A182" s="91" t="s">
        <v>300</v>
      </c>
      <c r="B182" s="91" t="s">
        <v>346</v>
      </c>
      <c r="C182" s="91" t="s">
        <v>298</v>
      </c>
      <c r="D182" s="91">
        <v>750</v>
      </c>
      <c r="E182" s="91"/>
      <c r="F182" s="91"/>
      <c r="G182" s="91"/>
    </row>
    <row r="183" spans="1:92" ht="13" x14ac:dyDescent="0.3">
      <c r="A183" s="91"/>
      <c r="B183" s="91"/>
      <c r="C183" s="91"/>
      <c r="D183" s="91"/>
    </row>
  </sheetData>
  <sheetProtection algorithmName="SHA-512" hashValue="Lbxcons2t5fwGUOaWb6Y55gUlHP3Atk8xXVi0Dj2mlDQJSZmCfAftE3820j4QsGCI/2WylYTP4sNaittDJqcgQ==" saltValue="Y09vNZS+RYc4Ttq6+s/ccw==" spinCount="100000" sheet="1" autoFilter="0"/>
  <autoFilter ref="A104:D183" xr:uid="{00000000-0001-0000-0200-000000000000}"/>
  <sortState xmlns:xlrd2="http://schemas.microsoft.com/office/spreadsheetml/2017/richdata2" ref="A105:D182">
    <sortCondition ref="A105:A182"/>
  </sortState>
  <dataConsolidate/>
  <mergeCells count="22">
    <mergeCell ref="C1:H1"/>
    <mergeCell ref="A1:A7"/>
    <mergeCell ref="D25:J25"/>
    <mergeCell ref="A21:A25"/>
    <mergeCell ref="C7:F7"/>
    <mergeCell ref="D21:E21"/>
    <mergeCell ref="C2:D2"/>
    <mergeCell ref="E2:F2"/>
    <mergeCell ref="C3:F3"/>
    <mergeCell ref="C5:H5"/>
    <mergeCell ref="C6:H6"/>
    <mergeCell ref="G24:I24"/>
    <mergeCell ref="D22:E22"/>
    <mergeCell ref="A9:A19"/>
    <mergeCell ref="G2:H2"/>
    <mergeCell ref="G62:H62"/>
    <mergeCell ref="B64:D64"/>
    <mergeCell ref="D24:E24"/>
    <mergeCell ref="A46:A57"/>
    <mergeCell ref="B62:D62"/>
    <mergeCell ref="B63:D63"/>
    <mergeCell ref="A29:A45"/>
  </mergeCells>
  <dataValidations xWindow="446" yWindow="757" count="6">
    <dataValidation type="list" allowBlank="1" showInputMessage="1" showErrorMessage="1" sqref="F19" xr:uid="{00000000-0002-0000-0200-000000000000}">
      <formula1>#REF!</formula1>
    </dataValidation>
    <dataValidation type="list" allowBlank="1" showInputMessage="1" showErrorMessage="1" sqref="D67 C14" xr:uid="{00000000-0002-0000-0200-000001000000}">
      <formula1>transformersizes</formula1>
    </dataValidation>
    <dataValidation type="list" allowBlank="1" showInputMessage="1" showErrorMessage="1" sqref="E67" xr:uid="{00000000-0002-0000-0200-000002000000}">
      <formula1>INDIRECT($A$78)</formula1>
    </dataValidation>
    <dataValidation type="whole" allowBlank="1" showErrorMessage="1" promptTitle="transformer amount" prompt="_x000a_" sqref="C67" xr:uid="{00000000-0002-0000-0200-000003000000}">
      <formula1>0</formula1>
      <formula2>10</formula2>
    </dataValidation>
    <dataValidation type="list" allowBlank="1" showInputMessage="1" showErrorMessage="1" sqref="C12" xr:uid="{00000000-0002-0000-0200-000004000000}">
      <formula1>$A$98:$A$103</formula1>
    </dataValidation>
    <dataValidation type="list" allowBlank="1" showInputMessage="1" showErrorMessage="1" sqref="C11" xr:uid="{00000000-0002-0000-0200-000005000000}">
      <formula1>$B$98:$B$100</formula1>
    </dataValidation>
  </dataValidations>
  <pageMargins left="0.25" right="0.25" top="0.75" bottom="0.75" header="0.3" footer="0.3"/>
  <pageSetup scale="65" fitToHeight="2" orientation="landscape" r:id="rId1"/>
  <headerFooter>
    <oddHeader>&amp;LTransmission-Distribution Planning &amp;D</oddHeader>
    <oddFooter>&amp;L&amp;D&amp;R&amp;F&amp;C&amp;"Calibri"&amp;11&amp;K000000&amp;"Calibri"&amp;11&amp;K000000&amp;A</oddFooter>
  </headerFooter>
  <rowBreaks count="1" manualBreakCount="1">
    <brk id="26" max="11" man="1"/>
  </rowBreaks>
  <extLst>
    <ext xmlns:x14="http://schemas.microsoft.com/office/spreadsheetml/2009/9/main" uri="{CCE6A557-97BC-4b89-ADB6-D9C93CAAB3DF}">
      <x14:dataValidations xmlns:xm="http://schemas.microsoft.com/office/excel/2006/main" xWindow="446" yWindow="757" count="1">
        <x14:dataValidation type="list" allowBlank="1" showInputMessage="1" showErrorMessage="1" xr:uid="{00000000-0002-0000-0200-000006000000}">
          <x14:formula1>
            <xm:f>'Customer Load Sheet'!$F$110:$F$112</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CI165"/>
  <sheetViews>
    <sheetView zoomScale="85" zoomScaleNormal="85" zoomScaleSheetLayoutView="90" workbookViewId="0">
      <selection activeCell="B2" sqref="B2"/>
    </sheetView>
  </sheetViews>
  <sheetFormatPr defaultColWidth="9.1796875" defaultRowHeight="15.5" x14ac:dyDescent="0.35"/>
  <cols>
    <col min="1" max="1" width="10.81640625" style="134" customWidth="1"/>
    <col min="2" max="2" width="36.81640625" style="134" bestFit="1" customWidth="1"/>
    <col min="3" max="3" width="18" style="134" customWidth="1"/>
    <col min="4" max="4" width="17.453125" style="134" customWidth="1"/>
    <col min="5" max="5" width="22.1796875" style="134" customWidth="1"/>
    <col min="6" max="6" width="17.1796875" style="134" bestFit="1" customWidth="1"/>
    <col min="7" max="7" width="13.453125" style="134" customWidth="1"/>
    <col min="8" max="8" width="19.453125" style="134" customWidth="1"/>
    <col min="9" max="9" width="12.453125" style="134" customWidth="1"/>
    <col min="10" max="13" width="9.1796875" style="134"/>
    <col min="14" max="14" width="20.1796875" style="134" customWidth="1"/>
    <col min="15" max="37" width="9.1796875" style="134" customWidth="1"/>
    <col min="38" max="16384" width="9.1796875" style="134"/>
  </cols>
  <sheetData>
    <row r="1" spans="1:11" x14ac:dyDescent="0.35">
      <c r="A1" s="598" t="s">
        <v>63</v>
      </c>
      <c r="B1" s="312" t="s">
        <v>64</v>
      </c>
      <c r="C1" s="599" t="str">
        <f>'Customer Load Sheet'!C13:H13</f>
        <v xml:space="preserve"> </v>
      </c>
      <c r="D1" s="599"/>
      <c r="E1" s="599"/>
      <c r="F1" s="599"/>
      <c r="G1" s="599"/>
      <c r="H1" s="599"/>
      <c r="I1" s="599"/>
    </row>
    <row r="2" spans="1:11" ht="19.5" customHeight="1" x14ac:dyDescent="0.35">
      <c r="A2" s="598"/>
      <c r="B2" s="312" t="s">
        <v>325</v>
      </c>
      <c r="C2" s="600" t="str">
        <f>'Customer Load Sheet'!C11</f>
        <v xml:space="preserve"> </v>
      </c>
      <c r="D2" s="601"/>
      <c r="E2" s="602" t="s">
        <v>12</v>
      </c>
      <c r="F2" s="602"/>
      <c r="G2" s="603" t="str">
        <f>'Customer Load Sheet'!C12</f>
        <v xml:space="preserve"> </v>
      </c>
      <c r="H2" s="603"/>
      <c r="I2" s="603"/>
    </row>
    <row r="3" spans="1:11" x14ac:dyDescent="0.35">
      <c r="A3" s="598"/>
      <c r="B3" s="312" t="s">
        <v>11</v>
      </c>
      <c r="C3" s="604" t="str">
        <f>('Customer Load Sheet'!C9&amp;"       "&amp;'Customer Load Sheet'!E9)</f>
        <v xml:space="preserve">         </v>
      </c>
      <c r="D3" s="604"/>
      <c r="E3" s="604"/>
      <c r="F3" s="604"/>
      <c r="G3" s="313"/>
      <c r="H3" s="313"/>
      <c r="I3" s="313"/>
    </row>
    <row r="4" spans="1:11" x14ac:dyDescent="0.35">
      <c r="A4" s="598"/>
      <c r="B4" s="312" t="s">
        <v>65</v>
      </c>
      <c r="C4" s="314" t="s">
        <v>13</v>
      </c>
      <c r="D4" s="326" t="str">
        <f>'Customer Load Sheet'!D14</f>
        <v xml:space="preserve"> </v>
      </c>
      <c r="E4" s="315" t="s">
        <v>14</v>
      </c>
      <c r="F4" s="326" t="str">
        <f>'Customer Load Sheet'!F14</f>
        <v xml:space="preserve"> </v>
      </c>
      <c r="G4" s="315" t="s">
        <v>15</v>
      </c>
      <c r="H4" s="326" t="str">
        <f>'Customer Load Sheet'!H14</f>
        <v xml:space="preserve"> </v>
      </c>
      <c r="I4" s="316" t="s">
        <v>1</v>
      </c>
      <c r="J4" s="135"/>
    </row>
    <row r="5" spans="1:11" x14ac:dyDescent="0.35">
      <c r="A5" s="598"/>
      <c r="B5" s="317" t="s">
        <v>66</v>
      </c>
      <c r="C5" s="599" t="str">
        <f>'Customer Load Sheet'!C15</f>
        <v xml:space="preserve"> </v>
      </c>
      <c r="D5" s="599"/>
      <c r="E5" s="599"/>
      <c r="F5" s="599"/>
      <c r="G5" s="599"/>
      <c r="H5" s="599"/>
      <c r="I5" s="318"/>
    </row>
    <row r="6" spans="1:11" x14ac:dyDescent="0.35">
      <c r="A6" s="598"/>
      <c r="B6" s="312" t="s">
        <v>65</v>
      </c>
      <c r="C6" s="318" t="str">
        <f>'Customer Load Sheet'!C16</f>
        <v>Office:</v>
      </c>
      <c r="D6" s="325" t="str">
        <f>'Customer Load Sheet'!D16</f>
        <v xml:space="preserve"> </v>
      </c>
      <c r="E6" s="318" t="str">
        <f>'Customer Load Sheet'!E16</f>
        <v>Cell:</v>
      </c>
      <c r="F6" s="325" t="str">
        <f>'Customer Load Sheet'!F16</f>
        <v xml:space="preserve"> </v>
      </c>
      <c r="G6" s="318" t="str">
        <f>'Customer Load Sheet'!G16</f>
        <v>Other:</v>
      </c>
      <c r="H6" s="325" t="str">
        <f>'Customer Load Sheet'!H16</f>
        <v xml:space="preserve"> </v>
      </c>
      <c r="I6" s="318"/>
    </row>
    <row r="7" spans="1:11" x14ac:dyDescent="0.35">
      <c r="A7" s="598"/>
      <c r="B7" s="312" t="s">
        <v>68</v>
      </c>
      <c r="C7" s="604" t="str">
        <f>'Customer Load Sheet'!C18</f>
        <v xml:space="preserve"> </v>
      </c>
      <c r="D7" s="604"/>
      <c r="E7" s="604"/>
      <c r="F7" s="604"/>
      <c r="G7" s="312" t="s">
        <v>18</v>
      </c>
      <c r="H7" s="136">
        <f>'Customer Load Sheet'!H18</f>
        <v>1000</v>
      </c>
      <c r="I7" s="312"/>
      <c r="J7" s="137"/>
    </row>
    <row r="8" spans="1:11" ht="16" thickBot="1" x14ac:dyDescent="0.4">
      <c r="A8" s="138"/>
      <c r="B8" s="138"/>
      <c r="C8" s="137"/>
      <c r="D8" s="137"/>
      <c r="E8" s="137"/>
      <c r="F8" s="137"/>
      <c r="G8" s="137"/>
      <c r="H8" s="137"/>
      <c r="I8" s="137"/>
      <c r="J8" s="137"/>
    </row>
    <row r="9" spans="1:11" ht="31" x14ac:dyDescent="0.35">
      <c r="A9" s="151"/>
      <c r="B9" s="133" t="s">
        <v>70</v>
      </c>
      <c r="C9" s="190" t="s">
        <v>496</v>
      </c>
      <c r="D9" s="152" t="str">
        <f>'Customer Load Sheet'!C21</f>
        <v>New</v>
      </c>
      <c r="E9" s="139"/>
      <c r="F9" s="154" t="s">
        <v>69</v>
      </c>
      <c r="G9" s="141" t="s">
        <v>29</v>
      </c>
      <c r="H9" s="140"/>
      <c r="I9" s="140"/>
      <c r="J9" s="142"/>
    </row>
    <row r="10" spans="1:11" ht="16" thickBot="1" x14ac:dyDescent="0.4">
      <c r="A10" s="361"/>
      <c r="B10" s="362" t="s">
        <v>74</v>
      </c>
      <c r="C10" s="363" t="s">
        <v>24</v>
      </c>
      <c r="D10" s="364">
        <f>'Customer Load Sheet'!D26</f>
        <v>208</v>
      </c>
      <c r="E10" s="365" t="s">
        <v>152</v>
      </c>
      <c r="F10" s="366">
        <f>'Customer Load Sheet'!F25</f>
        <v>0</v>
      </c>
      <c r="G10" s="367" t="s">
        <v>27</v>
      </c>
      <c r="H10" s="368">
        <f>'Customer Load Sheet'!F26</f>
        <v>3</v>
      </c>
      <c r="I10" s="367" t="s">
        <v>26</v>
      </c>
      <c r="J10" s="369">
        <f>'Customer Load Sheet'!H25</f>
        <v>4</v>
      </c>
    </row>
    <row r="11" spans="1:11" ht="16" thickBot="1" x14ac:dyDescent="0.4">
      <c r="A11" s="321"/>
      <c r="B11" s="143"/>
      <c r="J11" s="150"/>
    </row>
    <row r="12" spans="1:11" ht="16" thickBot="1" x14ac:dyDescent="0.4">
      <c r="A12" s="563" t="s">
        <v>79</v>
      </c>
      <c r="B12" s="370" t="s">
        <v>33</v>
      </c>
      <c r="C12" s="371" t="str">
        <f>'Customer Load Sheet'!F31</f>
        <v>Self Contained</v>
      </c>
      <c r="D12" s="593" t="s">
        <v>163</v>
      </c>
      <c r="E12" s="593"/>
      <c r="F12" s="372">
        <f>'Customer Load Sheet'!C32</f>
        <v>1</v>
      </c>
      <c r="G12" s="373" t="str">
        <f>'Customer Load Sheet'!D11</f>
        <v>SIC Code</v>
      </c>
      <c r="H12" s="373">
        <f>'Customer Load Sheet'!E11</f>
        <v>0</v>
      </c>
      <c r="I12" s="374"/>
      <c r="J12" s="375"/>
    </row>
    <row r="13" spans="1:11" ht="55.5" customHeight="1" thickBot="1" x14ac:dyDescent="0.4">
      <c r="A13" s="564"/>
      <c r="B13" s="314" t="s">
        <v>80</v>
      </c>
      <c r="C13" s="322" t="str">
        <f>'Customer Load Sheet'!H32</f>
        <v>Service Center</v>
      </c>
      <c r="D13" s="594" t="str">
        <f>'Transmission-Distribution Plan'!D22:E22</f>
        <v>Comments</v>
      </c>
      <c r="E13" s="594"/>
      <c r="F13" s="319" t="str">
        <f>'Customer Load Sheet'!F11</f>
        <v>Revenue Class</v>
      </c>
      <c r="G13" s="319">
        <f>'Customer Load Sheet'!G11</f>
        <v>421</v>
      </c>
      <c r="H13" s="320" t="str">
        <f>'Customer Load Sheet'!F12</f>
        <v>Customer Rate</v>
      </c>
      <c r="I13" s="319" t="str">
        <f>'Customer Load Sheet'!G12</f>
        <v>Rate 310 MGS Secondary</v>
      </c>
      <c r="J13" s="376" t="str">
        <f>'Customer Load Sheet'!H12</f>
        <v xml:space="preserve">     21-400 KW</v>
      </c>
    </row>
    <row r="14" spans="1:11" ht="16" thickBot="1" x14ac:dyDescent="0.4">
      <c r="A14" s="564"/>
      <c r="B14" s="312" t="s">
        <v>82</v>
      </c>
      <c r="C14" s="323" t="s">
        <v>83</v>
      </c>
      <c r="D14" s="322" t="str">
        <f>'Transmission-Distribution Plan'!D23</f>
        <v>x</v>
      </c>
      <c r="E14" s="323" t="s">
        <v>84</v>
      </c>
      <c r="F14" s="322" t="str">
        <f>'Transmission-Distribution Plan'!F23</f>
        <v>x</v>
      </c>
      <c r="G14" s="323" t="s">
        <v>85</v>
      </c>
      <c r="H14" s="322" t="str">
        <f>'Transmission-Distribution Plan'!H23</f>
        <v xml:space="preserve"> </v>
      </c>
      <c r="I14" s="324"/>
      <c r="J14" s="377"/>
      <c r="K14" s="134" t="s">
        <v>1</v>
      </c>
    </row>
    <row r="15" spans="1:11" ht="59.25" customHeight="1" thickBot="1" x14ac:dyDescent="0.4">
      <c r="A15" s="564"/>
      <c r="B15" s="312" t="s">
        <v>87</v>
      </c>
      <c r="C15" s="318" t="str">
        <f>C12</f>
        <v>Self Contained</v>
      </c>
      <c r="D15" s="594" t="str">
        <f>'Transmission-Distribution Plan'!D24:E24</f>
        <v>Comments</v>
      </c>
      <c r="E15" s="594"/>
      <c r="F15" s="71" t="str">
        <f>'Customer Load Sheet'!D34</f>
        <v>Other Comments on Metering (including # of End Users if applicable or Meter Location Adjustment)</v>
      </c>
      <c r="G15" s="595">
        <f>'Customer Load Sheet'!F34:H34</f>
        <v>0</v>
      </c>
      <c r="H15" s="595"/>
      <c r="I15" s="595"/>
      <c r="J15" s="378" t="s">
        <v>1</v>
      </c>
    </row>
    <row r="16" spans="1:11" ht="31.5" customHeight="1" thickBot="1" x14ac:dyDescent="0.4">
      <c r="A16" s="565"/>
      <c r="B16" s="379" t="s">
        <v>146</v>
      </c>
      <c r="C16" s="380">
        <f>ESA!P39</f>
        <v>0</v>
      </c>
      <c r="D16" s="596" t="str">
        <f>'Transmission-Distribution Plan'!D25:J25</f>
        <v>NOTE-default is the calculated amps for the total load-if mulitple meters you will need to back out the amps and put in just the CT Amps</v>
      </c>
      <c r="E16" s="596"/>
      <c r="F16" s="596"/>
      <c r="G16" s="596"/>
      <c r="H16" s="596"/>
      <c r="I16" s="596"/>
      <c r="J16" s="597"/>
    </row>
    <row r="18" spans="1:8" ht="26" x14ac:dyDescent="0.35">
      <c r="A18" s="137"/>
      <c r="B18" s="167" t="s">
        <v>486</v>
      </c>
      <c r="C18" s="144"/>
      <c r="D18" s="144"/>
      <c r="E18" s="112">
        <f>ESA!N38</f>
        <v>0</v>
      </c>
      <c r="F18" s="138" t="s">
        <v>141</v>
      </c>
      <c r="G18" s="134" t="s">
        <v>1</v>
      </c>
    </row>
    <row r="19" spans="1:8" ht="35.5" customHeight="1" x14ac:dyDescent="0.35">
      <c r="B19" s="167" t="s">
        <v>485</v>
      </c>
      <c r="C19" s="144"/>
      <c r="D19" s="144"/>
      <c r="E19" s="112">
        <f>ESA!M40</f>
        <v>0</v>
      </c>
      <c r="F19" s="138" t="s">
        <v>141</v>
      </c>
    </row>
    <row r="20" spans="1:8" ht="12.75" customHeight="1" x14ac:dyDescent="0.35">
      <c r="B20" s="145" t="s">
        <v>460</v>
      </c>
      <c r="C20" s="145"/>
      <c r="D20" s="145"/>
      <c r="E20" s="112">
        <f>ESA!N41</f>
        <v>0</v>
      </c>
      <c r="F20" s="138" t="s">
        <v>141</v>
      </c>
      <c r="G20" s="134" t="s">
        <v>487</v>
      </c>
      <c r="H20" s="112">
        <f>ESA!P39</f>
        <v>0</v>
      </c>
    </row>
    <row r="26" spans="1:8" x14ac:dyDescent="0.35">
      <c r="H26" s="134" t="s">
        <v>1</v>
      </c>
    </row>
    <row r="27" spans="1:8" x14ac:dyDescent="0.35">
      <c r="C27" s="134" t="s">
        <v>1</v>
      </c>
    </row>
    <row r="38" spans="2:9" x14ac:dyDescent="0.35">
      <c r="I38" s="134" t="s">
        <v>1</v>
      </c>
    </row>
    <row r="41" spans="2:9" ht="12.75" customHeight="1" x14ac:dyDescent="0.35"/>
    <row r="45" spans="2:9" x14ac:dyDescent="0.35">
      <c r="B45" s="137"/>
    </row>
    <row r="46" spans="2:9" x14ac:dyDescent="0.35">
      <c r="B46" s="137"/>
    </row>
    <row r="47" spans="2:9" ht="13.5" customHeight="1" x14ac:dyDescent="0.35">
      <c r="B47" s="137"/>
    </row>
    <row r="48" spans="2:9" ht="34.5" customHeight="1" x14ac:dyDescent="0.35">
      <c r="B48" s="137"/>
    </row>
    <row r="49" spans="1:12" x14ac:dyDescent="0.35">
      <c r="B49" s="137"/>
    </row>
    <row r="50" spans="1:12" x14ac:dyDescent="0.35">
      <c r="A50" s="138"/>
      <c r="J50" s="137"/>
    </row>
    <row r="51" spans="1:12" x14ac:dyDescent="0.35">
      <c r="A51" s="138"/>
      <c r="C51" s="146"/>
      <c r="J51" s="137"/>
    </row>
    <row r="52" spans="1:12" ht="33.75" customHeight="1" x14ac:dyDescent="0.35">
      <c r="A52" s="138"/>
      <c r="G52" s="138"/>
      <c r="H52" s="138"/>
      <c r="J52" s="137"/>
      <c r="L52" s="134" t="s">
        <v>1</v>
      </c>
    </row>
    <row r="53" spans="1:12" ht="33.75" customHeight="1" x14ac:dyDescent="0.35">
      <c r="A53" s="138"/>
    </row>
    <row r="54" spans="1:12" ht="27" customHeight="1" x14ac:dyDescent="0.35">
      <c r="A54" s="138"/>
    </row>
    <row r="55" spans="1:12" ht="51.75" customHeight="1" x14ac:dyDescent="0.35">
      <c r="A55" s="138"/>
    </row>
    <row r="56" spans="1:12" ht="51.75" customHeight="1" x14ac:dyDescent="0.35"/>
    <row r="57" spans="1:12" ht="58.5" customHeight="1" x14ac:dyDescent="0.35"/>
    <row r="58" spans="1:12" ht="56.25" customHeight="1" x14ac:dyDescent="0.35"/>
    <row r="67" spans="1:87" s="147" customFormat="1" x14ac:dyDescent="0.35"/>
    <row r="68" spans="1:87" s="149" customFormat="1" x14ac:dyDescent="0.35">
      <c r="A68" s="148"/>
      <c r="B68" s="148"/>
      <c r="C68" s="148"/>
      <c r="D68" s="148"/>
      <c r="E68" s="148"/>
      <c r="F68" s="148" t="s">
        <v>1</v>
      </c>
      <c r="G68" s="148" t="s">
        <v>1</v>
      </c>
      <c r="H68" s="148" t="s">
        <v>1</v>
      </c>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row>
    <row r="69" spans="1:87" s="149" customFormat="1" x14ac:dyDescent="0.35">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row>
    <row r="70" spans="1:87" s="149" customFormat="1" x14ac:dyDescent="0.35">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row>
    <row r="71" spans="1:87" s="149" customFormat="1" x14ac:dyDescent="0.35">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row>
    <row r="72" spans="1:87" s="149" customFormat="1" x14ac:dyDescent="0.35">
      <c r="A72" s="148"/>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row>
    <row r="73" spans="1:87" s="149" customFormat="1" x14ac:dyDescent="0.35">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t="s">
        <v>1</v>
      </c>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row>
    <row r="74" spans="1:87" s="149" customFormat="1" x14ac:dyDescent="0.35">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row>
    <row r="75" spans="1:87" s="149" customFormat="1" x14ac:dyDescent="0.35">
      <c r="A75" s="148"/>
      <c r="B75" s="148"/>
      <c r="C75" s="148"/>
      <c r="D75" s="148"/>
      <c r="E75" s="148" t="s">
        <v>1</v>
      </c>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row>
    <row r="76" spans="1:87" s="149" customFormat="1" x14ac:dyDescent="0.35">
      <c r="A76" s="148"/>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row>
    <row r="77" spans="1:87" s="149" customFormat="1" x14ac:dyDescent="0.35">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row>
    <row r="78" spans="1:87" s="149" customFormat="1" x14ac:dyDescent="0.35">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row>
    <row r="79" spans="1:87" s="149" customFormat="1" x14ac:dyDescent="0.35">
      <c r="A79" s="148"/>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row>
    <row r="80" spans="1:87" x14ac:dyDescent="0.35">
      <c r="A80" s="148"/>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row>
    <row r="81" spans="1:87" x14ac:dyDescent="0.35">
      <c r="A81" s="148"/>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row>
    <row r="82" spans="1:87" x14ac:dyDescent="0.35">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row>
    <row r="83" spans="1:87" x14ac:dyDescent="0.35">
      <c r="A83" s="148"/>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row>
    <row r="84" spans="1:87" x14ac:dyDescent="0.35">
      <c r="A84" s="148"/>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row>
    <row r="85" spans="1:87" x14ac:dyDescent="0.35">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row>
    <row r="86" spans="1:87" x14ac:dyDescent="0.35">
      <c r="A86" s="148"/>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row>
    <row r="87" spans="1:87" x14ac:dyDescent="0.35">
      <c r="A87" s="14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row>
    <row r="88" spans="1:87" x14ac:dyDescent="0.35">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row>
    <row r="89" spans="1:87" x14ac:dyDescent="0.35">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row>
    <row r="90" spans="1:87" x14ac:dyDescent="0.35">
      <c r="A90" s="148"/>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row>
    <row r="91" spans="1:87" x14ac:dyDescent="0.35">
      <c r="A91" s="14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row>
    <row r="92" spans="1:87" x14ac:dyDescent="0.35">
      <c r="A92" s="148"/>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row>
    <row r="93" spans="1:87" x14ac:dyDescent="0.35">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row>
    <row r="94" spans="1:87" x14ac:dyDescent="0.35">
      <c r="A94" s="148"/>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row>
    <row r="95" spans="1:87" x14ac:dyDescent="0.35">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row>
    <row r="96" spans="1:87" x14ac:dyDescent="0.35">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row>
    <row r="97" spans="1:87" x14ac:dyDescent="0.35">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row>
    <row r="98" spans="1:87" x14ac:dyDescent="0.35">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row>
    <row r="99" spans="1:87" x14ac:dyDescent="0.35">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row>
    <row r="100" spans="1:87" x14ac:dyDescent="0.35">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row>
    <row r="101" spans="1:87" x14ac:dyDescent="0.35">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row>
    <row r="102" spans="1:87" x14ac:dyDescent="0.35">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row>
    <row r="103" spans="1:87" x14ac:dyDescent="0.35">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row>
    <row r="104" spans="1:87" x14ac:dyDescent="0.35">
      <c r="A104" s="148"/>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row>
    <row r="105" spans="1:87" x14ac:dyDescent="0.35">
      <c r="A105" s="148"/>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row>
    <row r="106" spans="1:87" x14ac:dyDescent="0.35">
      <c r="A106" s="148"/>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row>
    <row r="107" spans="1:87" x14ac:dyDescent="0.35">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row>
    <row r="108" spans="1:87" x14ac:dyDescent="0.35">
      <c r="A108" s="148"/>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row>
    <row r="109" spans="1:87" x14ac:dyDescent="0.35">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row>
    <row r="110" spans="1:87" x14ac:dyDescent="0.35">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row>
    <row r="111" spans="1:87" x14ac:dyDescent="0.35">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row>
    <row r="112" spans="1:87" x14ac:dyDescent="0.35">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row>
    <row r="113" spans="1:87" x14ac:dyDescent="0.35">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row>
    <row r="114" spans="1:87" x14ac:dyDescent="0.35">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row>
    <row r="115" spans="1:87" x14ac:dyDescent="0.35">
      <c r="A115" s="148"/>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row>
    <row r="116" spans="1:87" x14ac:dyDescent="0.35">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row>
    <row r="117" spans="1:87" x14ac:dyDescent="0.35">
      <c r="A117" s="148"/>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row>
    <row r="118" spans="1:87" x14ac:dyDescent="0.35">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row>
    <row r="119" spans="1:87" x14ac:dyDescent="0.35">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c r="CH119" s="148"/>
      <c r="CI119" s="148"/>
    </row>
    <row r="120" spans="1:87" x14ac:dyDescent="0.35">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row>
    <row r="121" spans="1:87" x14ac:dyDescent="0.35">
      <c r="A121" s="148"/>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row>
    <row r="122" spans="1:87" x14ac:dyDescent="0.35">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row>
    <row r="123" spans="1:87" x14ac:dyDescent="0.35">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row>
    <row r="124" spans="1:87" x14ac:dyDescent="0.35">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row>
    <row r="125" spans="1:87" x14ac:dyDescent="0.35">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row>
    <row r="126" spans="1:87" x14ac:dyDescent="0.35">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c r="CI126" s="148"/>
    </row>
    <row r="127" spans="1:87" x14ac:dyDescent="0.35">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c r="CI127" s="148"/>
    </row>
    <row r="128" spans="1:87" x14ac:dyDescent="0.35">
      <c r="A128" s="148"/>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row>
    <row r="129" spans="1:87" x14ac:dyDescent="0.35">
      <c r="A129" s="148"/>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row>
    <row r="130" spans="1:87" x14ac:dyDescent="0.35">
      <c r="A130" s="148"/>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row>
    <row r="131" spans="1:87" x14ac:dyDescent="0.35">
      <c r="A131" s="148"/>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row>
    <row r="132" spans="1:87" x14ac:dyDescent="0.35">
      <c r="A132" s="148"/>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row>
    <row r="133" spans="1:87" x14ac:dyDescent="0.35">
      <c r="A133" s="148"/>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c r="CI133" s="148"/>
    </row>
    <row r="134" spans="1:87" x14ac:dyDescent="0.35">
      <c r="A134" s="148"/>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row>
    <row r="135" spans="1:87" x14ac:dyDescent="0.35">
      <c r="A135" s="148"/>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row>
    <row r="136" spans="1:87" x14ac:dyDescent="0.35">
      <c r="A136" s="148"/>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row>
    <row r="137" spans="1:87" x14ac:dyDescent="0.35">
      <c r="A137" s="148"/>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c r="CH137" s="148"/>
      <c r="CI137" s="148"/>
    </row>
    <row r="138" spans="1:87" x14ac:dyDescent="0.35">
      <c r="A138" s="148"/>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c r="CH138" s="148"/>
      <c r="CI138" s="148"/>
    </row>
    <row r="139" spans="1:87" x14ac:dyDescent="0.35">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c r="CH139" s="148"/>
      <c r="CI139" s="148"/>
    </row>
    <row r="140" spans="1:87" x14ac:dyDescent="0.35">
      <c r="A140" s="148"/>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row>
    <row r="141" spans="1:87" x14ac:dyDescent="0.35">
      <c r="A141" s="148"/>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row>
    <row r="142" spans="1:87" x14ac:dyDescent="0.35">
      <c r="A142" s="148"/>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c r="CG142" s="148"/>
      <c r="CH142" s="148"/>
      <c r="CI142" s="148"/>
    </row>
    <row r="143" spans="1:87" x14ac:dyDescent="0.35">
      <c r="A143" s="148"/>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148"/>
      <c r="CE143" s="148"/>
      <c r="CF143" s="148"/>
      <c r="CG143" s="148"/>
      <c r="CH143" s="148"/>
      <c r="CI143" s="148"/>
    </row>
    <row r="144" spans="1:87" x14ac:dyDescent="0.35">
      <c r="A144" s="148"/>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row>
    <row r="145" spans="1:87" x14ac:dyDescent="0.35">
      <c r="A145" s="148"/>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row>
    <row r="146" spans="1:87" x14ac:dyDescent="0.35">
      <c r="A146" s="148"/>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48"/>
      <c r="BV146" s="148"/>
      <c r="BW146" s="148"/>
      <c r="BX146" s="148"/>
      <c r="BY146" s="148"/>
      <c r="BZ146" s="148"/>
      <c r="CA146" s="148"/>
      <c r="CB146" s="148"/>
      <c r="CC146" s="148"/>
      <c r="CD146" s="148"/>
      <c r="CE146" s="148"/>
      <c r="CF146" s="148"/>
      <c r="CG146" s="148"/>
      <c r="CH146" s="148"/>
      <c r="CI146" s="148"/>
    </row>
    <row r="147" spans="1:87" x14ac:dyDescent="0.35">
      <c r="A147" s="148"/>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c r="CG147" s="148"/>
      <c r="CH147" s="148"/>
      <c r="CI147" s="148"/>
    </row>
    <row r="148" spans="1:87" x14ac:dyDescent="0.35">
      <c r="A148" s="148"/>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row>
    <row r="149" spans="1:87" x14ac:dyDescent="0.35">
      <c r="A149" s="148"/>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c r="CH149" s="148"/>
      <c r="CI149" s="148"/>
    </row>
    <row r="150" spans="1:87" x14ac:dyDescent="0.35">
      <c r="A150" s="148"/>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c r="CG150" s="148"/>
      <c r="CH150" s="148"/>
      <c r="CI150" s="148"/>
    </row>
    <row r="151" spans="1:87" x14ac:dyDescent="0.35">
      <c r="A151" s="148"/>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c r="CH151" s="148"/>
      <c r="CI151" s="148"/>
    </row>
    <row r="152" spans="1:87" x14ac:dyDescent="0.35">
      <c r="A152" s="148"/>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c r="CG152" s="148"/>
      <c r="CH152" s="148"/>
      <c r="CI152" s="148"/>
    </row>
    <row r="153" spans="1:87" x14ac:dyDescent="0.35">
      <c r="A153" s="148"/>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c r="CH153" s="148"/>
      <c r="CI153" s="148"/>
    </row>
    <row r="154" spans="1:87" x14ac:dyDescent="0.35">
      <c r="A154" s="148"/>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row>
    <row r="155" spans="1:87" x14ac:dyDescent="0.35">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c r="CH155" s="148"/>
      <c r="CI155" s="148"/>
    </row>
    <row r="156" spans="1:87" x14ac:dyDescent="0.35">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c r="CH156" s="148"/>
      <c r="CI156" s="148"/>
    </row>
    <row r="157" spans="1:87" x14ac:dyDescent="0.35">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c r="CG157" s="148"/>
      <c r="CH157" s="148"/>
      <c r="CI157" s="148"/>
    </row>
    <row r="158" spans="1:87" x14ac:dyDescent="0.35">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row>
    <row r="159" spans="1:87" x14ac:dyDescent="0.35">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row>
    <row r="160" spans="1:87" x14ac:dyDescent="0.35">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row>
    <row r="161" spans="1:87" x14ac:dyDescent="0.35">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row>
    <row r="162" spans="1:87" x14ac:dyDescent="0.35">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row>
    <row r="163" spans="1:87" x14ac:dyDescent="0.35">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row>
    <row r="164" spans="1:87" x14ac:dyDescent="0.35">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row>
    <row r="165" spans="1:87" x14ac:dyDescent="0.35">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row>
  </sheetData>
  <sheetProtection algorithmName="SHA-512" hashValue="Kg14WZST5PCiw3Z48wceSCT7VHcQympcsituJMXAkC4iH8+q1pCYcJprSMuNKxTks65bFsx/edRZNP2GTGRdtw==" saltValue="PA7TD8Mw0C6RHRAJnuN7Qw==" spinCount="100000" sheet="1" objects="1" scenarios="1"/>
  <dataConsolidate/>
  <mergeCells count="14">
    <mergeCell ref="A1:A7"/>
    <mergeCell ref="C1:I1"/>
    <mergeCell ref="C2:D2"/>
    <mergeCell ref="E2:F2"/>
    <mergeCell ref="G2:I2"/>
    <mergeCell ref="C3:F3"/>
    <mergeCell ref="C5:H5"/>
    <mergeCell ref="C7:F7"/>
    <mergeCell ref="A12:A16"/>
    <mergeCell ref="D12:E12"/>
    <mergeCell ref="D13:E13"/>
    <mergeCell ref="D15:E15"/>
    <mergeCell ref="G15:I15"/>
    <mergeCell ref="D16:J16"/>
  </mergeCells>
  <pageMargins left="0.25" right="0.25" top="0.75" bottom="0.75" header="0.3" footer="0.3"/>
  <pageSetup scale="77" orientation="landscape" r:id="rId1"/>
  <headerFooter>
    <oddHeader>&amp;LTransmission-Distribution Planning &amp;D</oddHeader>
    <oddFooter>&amp;L&amp;D&amp;R&amp;F&amp;C&amp;"Calibri"&amp;11&amp;K000000&amp;"Calibri"&amp;11&amp;K000000&amp;A</oddFooter>
  </headerFooter>
  <rowBreaks count="1" manualBreakCount="1">
    <brk id="2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893EF-5682-46C6-8696-3081A3802072}">
  <dimension ref="A1:X37"/>
  <sheetViews>
    <sheetView zoomScaleNormal="100" workbookViewId="0">
      <selection activeCell="P22" sqref="P22"/>
    </sheetView>
  </sheetViews>
  <sheetFormatPr defaultColWidth="0" defaultRowHeight="12.5" zeroHeight="1" x14ac:dyDescent="0.25"/>
  <cols>
    <col min="1" max="19" width="5.1796875" customWidth="1"/>
    <col min="20" max="20" width="7.81640625" customWidth="1"/>
    <col min="21" max="23" width="5.1796875"/>
    <col min="24" max="24" width="2.81640625" customWidth="1"/>
    <col min="25" max="25" width="0" hidden="1" customWidth="1"/>
  </cols>
  <sheetData>
    <row r="1" spans="1:23" s="218" customFormat="1" ht="17.5" x14ac:dyDescent="0.35">
      <c r="A1" s="605" t="s">
        <v>575</v>
      </c>
      <c r="B1" s="605"/>
      <c r="C1" s="605"/>
      <c r="D1" s="605"/>
      <c r="E1" s="605"/>
      <c r="F1" s="605"/>
      <c r="G1" s="605"/>
      <c r="H1" s="605"/>
      <c r="I1" s="605"/>
      <c r="J1" s="605"/>
      <c r="K1" s="605"/>
      <c r="L1" s="605"/>
      <c r="M1" s="605"/>
      <c r="N1" s="605"/>
      <c r="O1" s="605"/>
      <c r="P1" s="605"/>
      <c r="Q1" s="605"/>
      <c r="R1" s="605"/>
      <c r="S1" s="605"/>
      <c r="T1" s="605"/>
      <c r="U1" s="605"/>
      <c r="V1" s="605"/>
      <c r="W1" s="605"/>
    </row>
    <row r="2" spans="1:23" s="218" customFormat="1" ht="20.25" customHeight="1" x14ac:dyDescent="0.25">
      <c r="A2" s="218" t="s">
        <v>574</v>
      </c>
      <c r="P2" s="218" t="s">
        <v>577</v>
      </c>
      <c r="S2" s="618" t="str">
        <f>Metering!C1</f>
        <v xml:space="preserve"> </v>
      </c>
      <c r="T2" s="619"/>
      <c r="U2" s="619"/>
      <c r="V2" s="619"/>
      <c r="W2" s="620"/>
    </row>
    <row r="3" spans="1:23" s="218" customFormat="1" x14ac:dyDescent="0.25">
      <c r="A3" s="609"/>
      <c r="B3" s="610"/>
      <c r="C3" s="610"/>
      <c r="D3" s="610"/>
      <c r="E3" s="610"/>
      <c r="F3" s="610"/>
      <c r="G3" s="610"/>
      <c r="H3" s="610"/>
      <c r="I3" s="610"/>
      <c r="J3" s="610"/>
      <c r="K3" s="611"/>
      <c r="L3" s="424"/>
      <c r="M3" s="424"/>
      <c r="N3" s="424"/>
      <c r="O3" s="424"/>
      <c r="P3" s="424"/>
    </row>
    <row r="4" spans="1:23" s="218" customFormat="1" ht="20.25" customHeight="1" x14ac:dyDescent="0.25">
      <c r="A4" s="612"/>
      <c r="B4" s="613"/>
      <c r="C4" s="613"/>
      <c r="D4" s="613"/>
      <c r="E4" s="613"/>
      <c r="F4" s="613"/>
      <c r="G4" s="613"/>
      <c r="H4" s="613"/>
      <c r="I4" s="613"/>
      <c r="J4" s="613"/>
      <c r="K4" s="614"/>
      <c r="L4" s="424"/>
      <c r="M4" s="424"/>
      <c r="N4" s="424"/>
      <c r="O4" s="424"/>
      <c r="P4" s="218" t="s">
        <v>612</v>
      </c>
      <c r="S4" s="618"/>
      <c r="T4" s="619"/>
      <c r="U4" s="619"/>
      <c r="V4" s="619"/>
      <c r="W4" s="620"/>
    </row>
    <row r="5" spans="1:23" s="218" customFormat="1" x14ac:dyDescent="0.25">
      <c r="A5" s="615"/>
      <c r="B5" s="616"/>
      <c r="C5" s="616"/>
      <c r="D5" s="616"/>
      <c r="E5" s="616"/>
      <c r="F5" s="616"/>
      <c r="G5" s="616"/>
      <c r="H5" s="616"/>
      <c r="I5" s="616"/>
      <c r="J5" s="616"/>
      <c r="K5" s="617"/>
      <c r="L5" s="424"/>
      <c r="M5" s="424"/>
      <c r="N5" s="424"/>
      <c r="O5" s="424"/>
      <c r="P5" s="424"/>
    </row>
    <row r="6" spans="1:23" s="218" customFormat="1" ht="20.25" customHeight="1" x14ac:dyDescent="0.25">
      <c r="A6" s="606" t="s">
        <v>576</v>
      </c>
      <c r="B6" s="607"/>
      <c r="C6" s="607"/>
      <c r="D6" s="607"/>
      <c r="E6" s="607"/>
      <c r="F6" s="607"/>
      <c r="G6" s="607"/>
      <c r="H6" s="607"/>
      <c r="I6" s="607"/>
      <c r="J6" s="607"/>
      <c r="K6" s="608"/>
      <c r="L6" s="425"/>
      <c r="M6" s="425"/>
      <c r="N6" s="425"/>
      <c r="O6" s="425"/>
      <c r="P6" s="218" t="s">
        <v>578</v>
      </c>
      <c r="S6" s="621" t="str">
        <f>Metering!C2</f>
        <v xml:space="preserve"> </v>
      </c>
      <c r="T6" s="622"/>
      <c r="U6" s="622"/>
      <c r="V6" s="622"/>
      <c r="W6" s="623"/>
    </row>
    <row r="7" spans="1:23" s="218" customFormat="1" ht="8.25" customHeight="1" x14ac:dyDescent="0.25"/>
    <row r="8" spans="1:23" s="218" customFormat="1" ht="20.25" customHeight="1" x14ac:dyDescent="0.25">
      <c r="A8" s="218" t="s">
        <v>579</v>
      </c>
      <c r="E8" s="618"/>
      <c r="F8" s="619"/>
      <c r="G8" s="620"/>
      <c r="K8" s="624" t="s">
        <v>585</v>
      </c>
      <c r="L8" s="624"/>
      <c r="M8" s="624"/>
      <c r="O8" s="218" t="s">
        <v>590</v>
      </c>
      <c r="Q8" s="426" t="s">
        <v>591</v>
      </c>
      <c r="R8" s="426"/>
      <c r="S8" s="218" t="s">
        <v>592</v>
      </c>
      <c r="U8" s="618" t="str">
        <f>Metering!G2</f>
        <v xml:space="preserve"> </v>
      </c>
      <c r="V8" s="619"/>
      <c r="W8" s="620"/>
    </row>
    <row r="9" spans="1:23" s="218" customFormat="1" ht="8.25" customHeight="1" x14ac:dyDescent="0.25">
      <c r="Q9" s="426"/>
      <c r="R9" s="426"/>
    </row>
    <row r="10" spans="1:23" s="218" customFormat="1" ht="20.25" customHeight="1" x14ac:dyDescent="0.25">
      <c r="A10" s="218" t="s">
        <v>580</v>
      </c>
      <c r="E10" s="618"/>
      <c r="F10" s="619"/>
      <c r="G10" s="620"/>
      <c r="K10" s="624" t="s">
        <v>586</v>
      </c>
      <c r="L10" s="624"/>
      <c r="M10" s="624"/>
      <c r="O10" s="218" t="s">
        <v>590</v>
      </c>
      <c r="Q10" s="426" t="s">
        <v>591</v>
      </c>
      <c r="R10" s="426"/>
      <c r="S10" s="218" t="s">
        <v>593</v>
      </c>
      <c r="U10" s="618"/>
      <c r="V10" s="619"/>
      <c r="W10" s="620"/>
    </row>
    <row r="11" spans="1:23" s="218" customFormat="1" ht="8.25" customHeight="1" x14ac:dyDescent="0.25">
      <c r="Q11" s="426"/>
      <c r="R11" s="426"/>
    </row>
    <row r="12" spans="1:23" s="218" customFormat="1" ht="20.25" customHeight="1" x14ac:dyDescent="0.25">
      <c r="A12" s="218" t="s">
        <v>581</v>
      </c>
      <c r="E12" s="618"/>
      <c r="F12" s="619"/>
      <c r="G12" s="620"/>
      <c r="K12" s="624" t="s">
        <v>587</v>
      </c>
      <c r="L12" s="624"/>
      <c r="M12" s="624"/>
      <c r="O12" s="218" t="s">
        <v>590</v>
      </c>
      <c r="Q12" s="426" t="s">
        <v>591</v>
      </c>
      <c r="R12" s="426"/>
      <c r="S12" s="218" t="s">
        <v>594</v>
      </c>
      <c r="U12" s="618"/>
      <c r="V12" s="619"/>
      <c r="W12" s="620"/>
    </row>
    <row r="13" spans="1:23" s="218" customFormat="1" ht="8.25" customHeight="1" x14ac:dyDescent="0.25">
      <c r="Q13" s="426"/>
      <c r="R13" s="426"/>
    </row>
    <row r="14" spans="1:23" s="218" customFormat="1" ht="20.25" customHeight="1" x14ac:dyDescent="0.25">
      <c r="A14" s="218" t="s">
        <v>582</v>
      </c>
      <c r="E14" s="618"/>
      <c r="F14" s="619"/>
      <c r="G14" s="620"/>
      <c r="K14" s="624" t="s">
        <v>588</v>
      </c>
      <c r="L14" s="624"/>
      <c r="M14" s="624"/>
      <c r="O14" s="218" t="s">
        <v>590</v>
      </c>
      <c r="Q14" s="426" t="s">
        <v>591</v>
      </c>
      <c r="R14" s="426"/>
      <c r="S14" s="218" t="s">
        <v>595</v>
      </c>
      <c r="U14" s="618"/>
      <c r="V14" s="619"/>
      <c r="W14" s="620"/>
    </row>
    <row r="15" spans="1:23" s="218" customFormat="1" ht="8.25" customHeight="1" x14ac:dyDescent="0.25">
      <c r="Q15" s="426"/>
      <c r="R15" s="426"/>
    </row>
    <row r="16" spans="1:23" s="218" customFormat="1" ht="20.25" customHeight="1" x14ac:dyDescent="0.25">
      <c r="A16" s="218" t="s">
        <v>583</v>
      </c>
      <c r="E16" s="618"/>
      <c r="F16" s="619"/>
      <c r="G16" s="620"/>
      <c r="K16" s="624" t="s">
        <v>589</v>
      </c>
      <c r="L16" s="624"/>
      <c r="M16" s="624"/>
      <c r="O16" s="218" t="s">
        <v>590</v>
      </c>
      <c r="Q16" s="426" t="s">
        <v>591</v>
      </c>
      <c r="R16" s="426"/>
      <c r="S16" s="218" t="s">
        <v>596</v>
      </c>
      <c r="U16" s="618"/>
      <c r="V16" s="619"/>
      <c r="W16" s="620"/>
    </row>
    <row r="17" spans="1:24" s="218" customFormat="1" ht="8.25" customHeight="1" x14ac:dyDescent="0.25"/>
    <row r="18" spans="1:24" s="218" customFormat="1" ht="20.25" customHeight="1" x14ac:dyDescent="0.25">
      <c r="A18" s="218" t="s">
        <v>584</v>
      </c>
      <c r="E18" s="618"/>
      <c r="F18" s="619"/>
      <c r="G18" s="620"/>
      <c r="T18" s="218" t="s">
        <v>597</v>
      </c>
      <c r="V18" s="618"/>
      <c r="W18" s="620"/>
    </row>
    <row r="19" spans="1:24" s="218" customFormat="1" x14ac:dyDescent="0.25"/>
    <row r="20" spans="1:24" s="218" customFormat="1" x14ac:dyDescent="0.25">
      <c r="A20" s="218" t="s">
        <v>598</v>
      </c>
    </row>
    <row r="21" spans="1:24" s="218" customFormat="1" x14ac:dyDescent="0.25">
      <c r="B21" s="625" t="s">
        <v>599</v>
      </c>
      <c r="C21" s="625"/>
      <c r="D21" s="625"/>
      <c r="G21" s="427" t="s">
        <v>600</v>
      </c>
      <c r="H21" s="427"/>
      <c r="I21" s="427"/>
      <c r="J21" s="427"/>
      <c r="K21" s="427"/>
      <c r="L21" s="625" t="s">
        <v>601</v>
      </c>
      <c r="M21" s="625"/>
      <c r="N21" s="625"/>
      <c r="S21" s="626" t="s">
        <v>602</v>
      </c>
      <c r="T21" s="627"/>
      <c r="U21" s="627"/>
      <c r="V21" s="627"/>
      <c r="W21" s="628"/>
      <c r="X21" s="427"/>
    </row>
    <row r="22" spans="1:24" s="218" customFormat="1" ht="8.25" customHeight="1" x14ac:dyDescent="0.25">
      <c r="S22" s="629"/>
      <c r="T22" s="630"/>
      <c r="U22" s="630"/>
      <c r="V22" s="630"/>
      <c r="W22" s="631"/>
    </row>
    <row r="23" spans="1:24" s="218" customFormat="1" ht="20.25" customHeight="1" x14ac:dyDescent="0.25">
      <c r="B23" s="618"/>
      <c r="C23" s="619"/>
      <c r="D23" s="620"/>
      <c r="F23" s="618"/>
      <c r="G23" s="619"/>
      <c r="H23" s="619"/>
      <c r="I23" s="619"/>
      <c r="J23" s="620"/>
      <c r="L23" s="618" t="s">
        <v>1</v>
      </c>
      <c r="M23" s="619"/>
      <c r="N23" s="620"/>
      <c r="S23" s="629"/>
      <c r="T23" s="630"/>
      <c r="U23" s="630"/>
      <c r="V23" s="630"/>
      <c r="W23" s="631"/>
    </row>
    <row r="24" spans="1:24" s="218" customFormat="1" ht="8.25" customHeight="1" x14ac:dyDescent="0.25">
      <c r="S24" s="629"/>
      <c r="T24" s="630"/>
      <c r="U24" s="630"/>
      <c r="V24" s="630"/>
      <c r="W24" s="631"/>
    </row>
    <row r="25" spans="1:24" s="218" customFormat="1" ht="20.25" customHeight="1" x14ac:dyDescent="0.25">
      <c r="B25" s="618"/>
      <c r="C25" s="619"/>
      <c r="D25" s="620"/>
      <c r="F25" s="618"/>
      <c r="G25" s="619"/>
      <c r="H25" s="619"/>
      <c r="I25" s="619"/>
      <c r="J25" s="620"/>
      <c r="L25" s="618"/>
      <c r="M25" s="619"/>
      <c r="N25" s="620"/>
      <c r="S25" s="629"/>
      <c r="T25" s="630"/>
      <c r="U25" s="630"/>
      <c r="V25" s="630"/>
      <c r="W25" s="631"/>
    </row>
    <row r="26" spans="1:24" s="218" customFormat="1" ht="8.25" customHeight="1" x14ac:dyDescent="0.25">
      <c r="S26" s="632"/>
      <c r="T26" s="633"/>
      <c r="U26" s="633"/>
      <c r="V26" s="633"/>
      <c r="W26" s="634"/>
    </row>
    <row r="27" spans="1:24" s="218" customFormat="1" ht="20.25" customHeight="1" x14ac:dyDescent="0.25">
      <c r="B27" s="618"/>
      <c r="C27" s="619"/>
      <c r="D27" s="620"/>
      <c r="F27" s="618"/>
      <c r="G27" s="619"/>
      <c r="H27" s="619"/>
      <c r="I27" s="619"/>
      <c r="J27" s="620"/>
      <c r="L27" s="618"/>
      <c r="M27" s="619"/>
      <c r="N27" s="620"/>
    </row>
    <row r="28" spans="1:24" s="218" customFormat="1" ht="8.25" customHeight="1" x14ac:dyDescent="0.25">
      <c r="S28" s="626" t="s">
        <v>603</v>
      </c>
      <c r="T28" s="627"/>
      <c r="U28" s="627"/>
      <c r="V28" s="627"/>
      <c r="W28" s="628"/>
    </row>
    <row r="29" spans="1:24" s="218" customFormat="1" ht="20.25" customHeight="1" x14ac:dyDescent="0.25">
      <c r="B29" s="618"/>
      <c r="C29" s="619"/>
      <c r="D29" s="620"/>
      <c r="F29" s="618"/>
      <c r="G29" s="619"/>
      <c r="H29" s="619"/>
      <c r="I29" s="619"/>
      <c r="J29" s="620"/>
      <c r="L29" s="618"/>
      <c r="M29" s="619"/>
      <c r="N29" s="620"/>
      <c r="S29" s="629"/>
      <c r="T29" s="630"/>
      <c r="U29" s="630"/>
      <c r="V29" s="630"/>
      <c r="W29" s="631"/>
    </row>
    <row r="30" spans="1:24" s="218" customFormat="1" ht="8.25" customHeight="1" x14ac:dyDescent="0.25">
      <c r="S30" s="629"/>
      <c r="T30" s="630"/>
      <c r="U30" s="630"/>
      <c r="V30" s="630"/>
      <c r="W30" s="631"/>
    </row>
    <row r="31" spans="1:24" s="218" customFormat="1" ht="20.25" customHeight="1" x14ac:dyDescent="0.25">
      <c r="B31" s="618"/>
      <c r="C31" s="619"/>
      <c r="D31" s="620"/>
      <c r="F31" s="618"/>
      <c r="G31" s="619"/>
      <c r="H31" s="619"/>
      <c r="I31" s="619"/>
      <c r="J31" s="620"/>
      <c r="L31" s="618"/>
      <c r="M31" s="619"/>
      <c r="N31" s="620"/>
      <c r="S31" s="629"/>
      <c r="T31" s="630"/>
      <c r="U31" s="630"/>
      <c r="V31" s="630"/>
      <c r="W31" s="631"/>
    </row>
    <row r="32" spans="1:24" s="218" customFormat="1" ht="8.25" customHeight="1" x14ac:dyDescent="0.25">
      <c r="S32" s="629"/>
      <c r="T32" s="630"/>
      <c r="U32" s="630"/>
      <c r="V32" s="630"/>
      <c r="W32" s="631"/>
    </row>
    <row r="33" spans="1:23" s="218" customFormat="1" ht="20.25" customHeight="1" x14ac:dyDescent="0.25">
      <c r="B33" s="618"/>
      <c r="C33" s="619"/>
      <c r="D33" s="620"/>
      <c r="F33" s="618"/>
      <c r="G33" s="619"/>
      <c r="H33" s="619"/>
      <c r="I33" s="619"/>
      <c r="J33" s="620"/>
      <c r="L33" s="618"/>
      <c r="M33" s="619"/>
      <c r="N33" s="620"/>
      <c r="S33" s="632"/>
      <c r="T33" s="633"/>
      <c r="U33" s="633"/>
      <c r="V33" s="633"/>
      <c r="W33" s="634"/>
    </row>
    <row r="34" spans="1:23" s="218" customFormat="1" x14ac:dyDescent="0.25"/>
    <row r="35" spans="1:23" s="218" customFormat="1" x14ac:dyDescent="0.25">
      <c r="A35" s="218" t="s">
        <v>604</v>
      </c>
      <c r="C35" s="616"/>
      <c r="D35" s="616"/>
      <c r="E35" s="616"/>
      <c r="F35" s="616"/>
      <c r="G35" s="616"/>
      <c r="H35" s="616"/>
      <c r="I35" s="616"/>
      <c r="J35" s="616"/>
      <c r="K35" s="616"/>
      <c r="O35" s="218" t="s">
        <v>605</v>
      </c>
      <c r="R35" s="616"/>
      <c r="S35" s="616"/>
      <c r="T35" s="616"/>
      <c r="U35" s="218" t="s">
        <v>606</v>
      </c>
      <c r="V35" s="616"/>
      <c r="W35" s="616"/>
    </row>
    <row r="36" spans="1:23" s="218" customFormat="1" x14ac:dyDescent="0.25"/>
    <row r="37" spans="1:23" s="218" customFormat="1" x14ac:dyDescent="0.25">
      <c r="A37" s="624" t="s">
        <v>607</v>
      </c>
      <c r="B37" s="624"/>
      <c r="C37" s="624"/>
      <c r="D37" s="624"/>
      <c r="E37" s="624"/>
      <c r="F37" s="616"/>
      <c r="G37" s="616"/>
      <c r="H37" s="616"/>
      <c r="J37" s="218" t="s">
        <v>608</v>
      </c>
      <c r="M37" s="616"/>
      <c r="N37" s="616"/>
      <c r="O37" s="218" t="s">
        <v>609</v>
      </c>
      <c r="R37" s="616"/>
      <c r="S37" s="616"/>
      <c r="T37" s="616"/>
      <c r="U37" s="218" t="s">
        <v>606</v>
      </c>
      <c r="V37" s="616"/>
      <c r="W37" s="616"/>
    </row>
  </sheetData>
  <sheetProtection algorithmName="SHA-512" hashValue="FxcAglQYjpB2VKNXXUcFlJ17msN4WMmB48FAPPQrMcOU8dywpUQotGH2FlhqWIUo8DCvX5zzvSIycv8Jg9rbkw==" saltValue="F598kM0pprR2fGTrTxZjrQ==" spinCount="100000" sheet="1" objects="1" scenarios="1"/>
  <mergeCells count="53">
    <mergeCell ref="R35:T35"/>
    <mergeCell ref="M37:N37"/>
    <mergeCell ref="K8:M8"/>
    <mergeCell ref="C35:K35"/>
    <mergeCell ref="A37:E37"/>
    <mergeCell ref="S28:W33"/>
    <mergeCell ref="S21:W26"/>
    <mergeCell ref="V35:W35"/>
    <mergeCell ref="V37:W37"/>
    <mergeCell ref="F37:H37"/>
    <mergeCell ref="R37:T37"/>
    <mergeCell ref="E16:G16"/>
    <mergeCell ref="E18:G18"/>
    <mergeCell ref="K16:M16"/>
    <mergeCell ref="K14:M14"/>
    <mergeCell ref="K12:M12"/>
    <mergeCell ref="L21:N21"/>
    <mergeCell ref="L23:N23"/>
    <mergeCell ref="L25:N25"/>
    <mergeCell ref="L27:N27"/>
    <mergeCell ref="L29:N29"/>
    <mergeCell ref="L31:N31"/>
    <mergeCell ref="L33:N33"/>
    <mergeCell ref="F23:J23"/>
    <mergeCell ref="F25:J25"/>
    <mergeCell ref="F27:J27"/>
    <mergeCell ref="F29:J29"/>
    <mergeCell ref="F31:J31"/>
    <mergeCell ref="F33:J33"/>
    <mergeCell ref="B31:D31"/>
    <mergeCell ref="B33:D33"/>
    <mergeCell ref="B21:D21"/>
    <mergeCell ref="B23:D23"/>
    <mergeCell ref="B25:D25"/>
    <mergeCell ref="B27:D27"/>
    <mergeCell ref="B29:D29"/>
    <mergeCell ref="V18:W18"/>
    <mergeCell ref="E8:G8"/>
    <mergeCell ref="E10:G10"/>
    <mergeCell ref="E12:G12"/>
    <mergeCell ref="E14:G14"/>
    <mergeCell ref="U8:W8"/>
    <mergeCell ref="U10:W10"/>
    <mergeCell ref="U12:W12"/>
    <mergeCell ref="U14:W14"/>
    <mergeCell ref="U16:W16"/>
    <mergeCell ref="K10:M10"/>
    <mergeCell ref="A1:W1"/>
    <mergeCell ref="A6:K6"/>
    <mergeCell ref="A3:K5"/>
    <mergeCell ref="S2:W2"/>
    <mergeCell ref="S4:W4"/>
    <mergeCell ref="S6:W6"/>
  </mergeCells>
  <printOptions horizontalCentered="1" verticalCentered="1"/>
  <pageMargins left="0" right="0" top="0" bottom="0" header="0" footer="0"/>
  <pageSetup scale="97" orientation="landscape" r:id="rId1"/>
  <ignoredErrors>
    <ignoredError sqref="U8 S6 S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8F58BC80768A47B7B83BC25A57D54F" ma:contentTypeVersion="10" ma:contentTypeDescription="Crear nuevo documento." ma:contentTypeScope="" ma:versionID="2cd1c64d1b6f7e77c2f983d84100a51f">
  <xsd:schema xmlns:xsd="http://www.w3.org/2001/XMLSchema" xmlns:xs="http://www.w3.org/2001/XMLSchema" xmlns:p="http://schemas.microsoft.com/office/2006/metadata/properties" xmlns:ns2="d2d56c13-1aa0-45b7-85d5-d315b5a6095c" xmlns:ns3="b35adeb7-9c28-4f82-97a9-1df617690a09" targetNamespace="http://schemas.microsoft.com/office/2006/metadata/properties" ma:root="true" ma:fieldsID="e2c2c339cf49781784f85b4fafdca5f6" ns2:_="" ns3:_="">
    <xsd:import namespace="d2d56c13-1aa0-45b7-85d5-d315b5a6095c"/>
    <xsd:import namespace="b35adeb7-9c28-4f82-97a9-1df617690a0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56c13-1aa0-45b7-85d5-d315b5a60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5adeb7-9c28-4f82-97a9-1df617690a09"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BB3D98-99B0-4352-8A4C-CB2A1BA0C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d56c13-1aa0-45b7-85d5-d315b5a6095c"/>
    <ds:schemaRef ds:uri="b35adeb7-9c28-4f82-97a9-1df617690a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596F0F-101F-4213-98DE-5EAFA3B71C6A}">
  <ds:schemaRefs>
    <ds:schemaRef ds:uri="http://schemas.microsoft.com/sharepoint/v3/contenttype/forms"/>
  </ds:schemaRefs>
</ds:datastoreItem>
</file>

<file path=customXml/itemProps3.xml><?xml version="1.0" encoding="utf-8"?>
<ds:datastoreItem xmlns:ds="http://schemas.openxmlformats.org/officeDocument/2006/customXml" ds:itemID="{0671DE5C-146E-4524-8F37-86FDE06EF765}">
  <ds:schemaRefs>
    <ds:schemaRef ds:uri="d2d56c13-1aa0-45b7-85d5-d315b5a6095c"/>
    <ds:schemaRef ds:uri="b35adeb7-9c28-4f82-97a9-1df617690a0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Customer Load Sheet</vt:lpstr>
      <vt:lpstr>How-to for load sheet</vt:lpstr>
      <vt:lpstr>ESA</vt:lpstr>
      <vt:lpstr>Transmission-Distribution Plan</vt:lpstr>
      <vt:lpstr>Metering</vt:lpstr>
      <vt:lpstr>METER DATA</vt:lpstr>
      <vt:lpstr>'Customer Load Sheet'!__xlnm.Print_Area</vt:lpstr>
      <vt:lpstr>COMM_LIST_LOAD_TYPE</vt:lpstr>
      <vt:lpstr>COMM_LOAD_TYPE_VLKUP</vt:lpstr>
      <vt:lpstr>LOAD_TYPE_RES_HVAC</vt:lpstr>
      <vt:lpstr>Multiple_list</vt:lpstr>
      <vt:lpstr>Multiple_Unit_Diversity_vlkup</vt:lpstr>
      <vt:lpstr>'Customer Load Sheet'!Print_Area</vt:lpstr>
      <vt:lpstr>ESA!Print_Area</vt:lpstr>
      <vt:lpstr>'How-to for load sheet'!Print_Area</vt:lpstr>
      <vt:lpstr>Metering!Print_Area</vt:lpstr>
      <vt:lpstr>'Transmission-Distribution Plan'!Print_Area</vt:lpstr>
      <vt:lpstr>rate_lookup</vt:lpstr>
      <vt:lpstr>RES_LOAD_TYPE_HVAC</vt:lpstr>
      <vt:lpstr>RES_LOAD_TYPE_HVAC_VLKUP</vt:lpstr>
      <vt:lpstr>RES_LOAD_TYPE_NON_HVAC</vt:lpstr>
      <vt:lpstr>RES_LOAD_TYPE_NON_HVAC_VLKUP</vt:lpstr>
      <vt:lpstr>RES_LOADTYPE_HVAC</vt:lpstr>
      <vt:lpstr>REV_CLASS_COM_IND</vt:lpstr>
      <vt:lpstr>Revenue_Class</vt:lpstr>
      <vt:lpstr>S_C_LIST</vt:lpstr>
      <vt:lpstr>transformersizes</vt:lpstr>
      <vt:lpstr>Voltage_Choice_VLKUP</vt:lpstr>
      <vt:lpstr>xfmr10</vt:lpstr>
      <vt:lpstr>xfmr100</vt:lpstr>
      <vt:lpstr>xfmr1000</vt:lpstr>
      <vt:lpstr>xfmr112.5</vt:lpstr>
      <vt:lpstr>xfmr150</vt:lpstr>
      <vt:lpstr>xfmr1500</vt:lpstr>
      <vt:lpstr>xfmr167</vt:lpstr>
      <vt:lpstr>xfmr2000</vt:lpstr>
      <vt:lpstr>xfmr25</vt:lpstr>
      <vt:lpstr>xfmr2500</vt:lpstr>
      <vt:lpstr>xfmr300</vt:lpstr>
      <vt:lpstr>xfmr50</vt:lpstr>
      <vt:lpstr>xfmr500</vt:lpstr>
      <vt:lpstr>xfmr5000</vt:lpstr>
      <vt:lpstr>xfmr75</vt:lpstr>
      <vt:lpstr>xfmr750</vt:lpstr>
      <vt:lpstr>xfmr7500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Cough, Jamie</dc:creator>
  <cp:lastModifiedBy>Lily McVetty</cp:lastModifiedBy>
  <cp:lastPrinted>2022-04-26T17:27:56Z</cp:lastPrinted>
  <dcterms:created xsi:type="dcterms:W3CDTF">2015-10-22T12:34:53Z</dcterms:created>
  <dcterms:modified xsi:type="dcterms:W3CDTF">2023-11-30T20:33:23Z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24b1752-a977-4927-b9e6-e48a43684aee_Enabled">
    <vt:lpwstr>true</vt:lpwstr>
  </property>
  <property fmtid="{D5CDD505-2E9C-101B-9397-08002B2CF9AE}" pid="4" name="MSIP_Label_624b1752-a977-4927-b9e6-e48a43684aee_SetDate">
    <vt:lpwstr>2022-04-26T10:20:21Z</vt:lpwstr>
  </property>
  <property fmtid="{D5CDD505-2E9C-101B-9397-08002B2CF9AE}" pid="5" name="MSIP_Label_624b1752-a977-4927-b9e6-e48a43684aee_Method">
    <vt:lpwstr>Privileged</vt:lpwstr>
  </property>
  <property fmtid="{D5CDD505-2E9C-101B-9397-08002B2CF9AE}" pid="6" name="MSIP_Label_624b1752-a977-4927-b9e6-e48a43684aee_Name">
    <vt:lpwstr>Public</vt:lpwstr>
  </property>
  <property fmtid="{D5CDD505-2E9C-101B-9397-08002B2CF9AE}" pid="7" name="MSIP_Label_624b1752-a977-4927-b9e6-e48a43684aee_SiteId">
    <vt:lpwstr>031a09bc-a2bf-44df-888e-4e09355b7a24</vt:lpwstr>
  </property>
  <property fmtid="{D5CDD505-2E9C-101B-9397-08002B2CF9AE}" pid="8" name="MSIP_Label_624b1752-a977-4927-b9e6-e48a43684aee_ActionId">
    <vt:lpwstr>ccc17985-b674-46e6-bf12-3298c546254a</vt:lpwstr>
  </property>
  <property fmtid="{D5CDD505-2E9C-101B-9397-08002B2CF9AE}" pid="9" name="MSIP_Label_624b1752-a977-4927-b9e6-e48a43684aee_ContentBits">
    <vt:lpwstr>0</vt:lpwstr>
  </property>
  <property fmtid="{D5CDD505-2E9C-101B-9397-08002B2CF9AE}" pid="10" name="ContentTypeId">
    <vt:lpwstr>0x010100158F58BC80768A47B7B83BC25A57D54F</vt:lpwstr>
  </property>
</Properties>
</file>